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etc\볼동\"/>
    </mc:Choice>
  </mc:AlternateContent>
  <bookViews>
    <workbookView xWindow="0" yWindow="0" windowWidth="8220" windowHeight="4050" activeTab="8"/>
  </bookViews>
  <sheets>
    <sheet name="마일리지" sheetId="3" r:id="rId1"/>
    <sheet name="라커현황" sheetId="4" r:id="rId2"/>
    <sheet name="인원별 음료과자" sheetId="5" r:id="rId3"/>
    <sheet name="전체점수(순)" sheetId="16" r:id="rId4"/>
    <sheet name="전체점수" sheetId="1" state="hidden" r:id="rId5"/>
    <sheet name="미니게임_DATA(순)" sheetId="17" r:id="rId6"/>
    <sheet name="미니게임_DATA" sheetId="2" state="hidden" r:id="rId7"/>
    <sheet name="미니게임_년도별 하이" sheetId="14" r:id="rId8"/>
    <sheet name="2025_08월_미니게임" sheetId="44" r:id="rId9"/>
    <sheet name="2025_07월_라지게임" sheetId="43" r:id="rId10"/>
    <sheet name="2025_07월_미니게임" sheetId="42" r:id="rId11"/>
    <sheet name="2025_06월_라지게임" sheetId="41" r:id="rId12"/>
    <sheet name="2025_06월_미니게임" sheetId="40" r:id="rId13"/>
    <sheet name="미니게임_분석" sheetId="11" r:id="rId14"/>
    <sheet name="2025_05월_라지게임" sheetId="39" r:id="rId15"/>
    <sheet name="2025_05월_미니게임" sheetId="38" r:id="rId16"/>
    <sheet name="2025_04월_라지게임" sheetId="37" r:id="rId17"/>
    <sheet name="2025_04월_미니게임" sheetId="36" r:id="rId18"/>
    <sheet name="2025_03월_라지게임" sheetId="35" r:id="rId19"/>
    <sheet name="2025_03월_미니게임" sheetId="34" r:id="rId20"/>
    <sheet name="2025_02월_라지게임_결과" sheetId="33" r:id="rId21"/>
    <sheet name="2025_02월_미니게임_결과" sheetId="32" r:id="rId22"/>
    <sheet name="2025_01월_라지게임_결과" sheetId="31" r:id="rId23"/>
    <sheet name="2025_01월_미니게임_결과" sheetId="30" r:id="rId24"/>
    <sheet name="2024_12월_라지게임_연말이벤트_결과" sheetId="29" r:id="rId25"/>
    <sheet name="2024_12월_깜짝미니게임_결과" sheetId="28" r:id="rId26"/>
    <sheet name="2024_12월_미니게임_결과" sheetId="27" r:id="rId27"/>
    <sheet name="2024_11월_라지게임_결과" sheetId="25" r:id="rId28"/>
    <sheet name="2024_11월_미니게임_결과" sheetId="24" r:id="rId29"/>
    <sheet name="2024_10월_미니게임_결과" sheetId="23" r:id="rId30"/>
    <sheet name="2024_9월_미니게임_결과" sheetId="22" r:id="rId31"/>
    <sheet name="2024_8월_미니게임_결과" sheetId="21" r:id="rId32"/>
    <sheet name="2024_7월_미니게임_결과" sheetId="20" r:id="rId33"/>
    <sheet name="2024_6월_미니게임_결과" sheetId="19" r:id="rId34"/>
    <sheet name="2024_5월_미니게임_결과" sheetId="18" r:id="rId35"/>
    <sheet name="2024_4월_미니게임_결과" sheetId="15" r:id="rId36"/>
    <sheet name="2024_3월_미니게임_결과" sheetId="13" r:id="rId37"/>
    <sheet name="2024_2월_미니게임_결과" sheetId="6" r:id="rId38"/>
    <sheet name="2024_1월(2)_미니게임_결과" sheetId="8" r:id="rId39"/>
    <sheet name="2024_1월(1)_미니게임_결과" sheetId="10" r:id="rId40"/>
  </sheets>
  <definedNames>
    <definedName name="_xlnm._FilterDatabase" localSheetId="6" hidden="1">미니게임_DATA!$A$3:$WXV$38</definedName>
    <definedName name="_xlnm._FilterDatabase" localSheetId="5" hidden="1">'미니게임_DATA(순)'!$A$3:$XAX$51</definedName>
    <definedName name="_xlnm._FilterDatabase" localSheetId="7" hidden="1">'미니게임_년도별 하이'!$A$12:$N$60</definedName>
    <definedName name="_xlnm._FilterDatabase" localSheetId="13" hidden="1">미니게임_분석!$A$1:$K$37</definedName>
    <definedName name="_xlnm._FilterDatabase" localSheetId="2" hidden="1">'인원별 음료과자'!$A$2:$G$2</definedName>
    <definedName name="_xlnm._FilterDatabase" localSheetId="4" hidden="1">전체점수!$A$2:$KF$37</definedName>
    <definedName name="_xlnm._FilterDatabase" localSheetId="3" hidden="1">'전체점수(순)'!$A$2:$OO$50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W51" i="17" l="1"/>
  <c r="EW50" i="17"/>
  <c r="EW49" i="17"/>
  <c r="EW48" i="17"/>
  <c r="EW47" i="17"/>
  <c r="EW46" i="17"/>
  <c r="EW44" i="17"/>
  <c r="EW41" i="17"/>
  <c r="EW40" i="17"/>
  <c r="EW38" i="17"/>
  <c r="EW37" i="17"/>
  <c r="EW13" i="17"/>
  <c r="EW33" i="17"/>
  <c r="EW29" i="17"/>
  <c r="EW28" i="17"/>
  <c r="EW27" i="17"/>
  <c r="EW25" i="17"/>
  <c r="EW24" i="17"/>
  <c r="EW23" i="17"/>
  <c r="EW21" i="17"/>
  <c r="EW9" i="17"/>
  <c r="EW20" i="17"/>
  <c r="EW14" i="17"/>
  <c r="EW19" i="17"/>
  <c r="EW18" i="17"/>
  <c r="EW16" i="17"/>
  <c r="EW10" i="17"/>
  <c r="EW6" i="17"/>
  <c r="EW8" i="17"/>
  <c r="EW4" i="17"/>
  <c r="EW15" i="17"/>
  <c r="EW11" i="17"/>
  <c r="B37" i="3"/>
  <c r="B18" i="3"/>
  <c r="B8" i="3"/>
  <c r="B36" i="3"/>
  <c r="B29" i="3"/>
  <c r="B30" i="3"/>
  <c r="B31" i="3"/>
  <c r="B6" i="3"/>
  <c r="B35" i="3"/>
  <c r="B10" i="3"/>
  <c r="B23" i="3"/>
  <c r="C39" i="3"/>
  <c r="C38" i="3"/>
  <c r="C37" i="3"/>
  <c r="C36" i="3"/>
  <c r="C35" i="3"/>
  <c r="C34" i="3"/>
  <c r="C32" i="3"/>
  <c r="C31" i="3"/>
  <c r="C30" i="3"/>
  <c r="C29" i="3"/>
  <c r="C25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6" i="3"/>
  <c r="C5" i="3"/>
  <c r="C4" i="3"/>
  <c r="M31" i="44"/>
  <c r="M30" i="44"/>
  <c r="M29" i="44"/>
  <c r="M26" i="44"/>
  <c r="M21" i="44"/>
  <c r="M20" i="44"/>
  <c r="M19" i="44"/>
  <c r="W16" i="44"/>
  <c r="M14" i="44"/>
  <c r="I31" i="44"/>
  <c r="I30" i="44"/>
  <c r="I29" i="44"/>
  <c r="I26" i="44"/>
  <c r="I21" i="44"/>
  <c r="I20" i="44"/>
  <c r="I19" i="44"/>
  <c r="I14" i="44"/>
  <c r="E31" i="44"/>
  <c r="E30" i="44"/>
  <c r="E29" i="44"/>
  <c r="E26" i="44"/>
  <c r="E36" i="44"/>
  <c r="E21" i="44"/>
  <c r="E20" i="44"/>
  <c r="E19" i="44"/>
  <c r="E14" i="44"/>
  <c r="Z43" i="44"/>
  <c r="Y43" i="44" s="1"/>
  <c r="U43" i="44"/>
  <c r="Z42" i="44"/>
  <c r="Y42" i="44" s="1"/>
  <c r="R42" i="44"/>
  <c r="U42" i="44" s="1"/>
  <c r="Q42" i="44"/>
  <c r="Z41" i="44"/>
  <c r="Y41" i="44"/>
  <c r="M41" i="44"/>
  <c r="I41" i="44"/>
  <c r="I43" i="44" s="1"/>
  <c r="E41" i="44"/>
  <c r="Z40" i="44"/>
  <c r="Y40" i="44"/>
  <c r="M40" i="44"/>
  <c r="I40" i="44"/>
  <c r="E40" i="44"/>
  <c r="Z39" i="44"/>
  <c r="Y39" i="44"/>
  <c r="M39" i="44"/>
  <c r="I39" i="44"/>
  <c r="E39" i="44"/>
  <c r="Z38" i="44"/>
  <c r="Y38" i="44"/>
  <c r="U38" i="44"/>
  <c r="Z37" i="44"/>
  <c r="Y37" i="44" s="1"/>
  <c r="R37" i="44"/>
  <c r="U37" i="44" s="1"/>
  <c r="Q37" i="44"/>
  <c r="Z36" i="44"/>
  <c r="Y36" i="44" s="1"/>
  <c r="M36" i="44"/>
  <c r="I36" i="44"/>
  <c r="Z35" i="44"/>
  <c r="Y35" i="44"/>
  <c r="M35" i="44"/>
  <c r="M38" i="44" s="1"/>
  <c r="I35" i="44"/>
  <c r="E35" i="44"/>
  <c r="Z34" i="44"/>
  <c r="Y34" i="44"/>
  <c r="M34" i="44"/>
  <c r="I34" i="44"/>
  <c r="E34" i="44"/>
  <c r="Z33" i="44"/>
  <c r="Y33" i="44"/>
  <c r="U33" i="44"/>
  <c r="Z32" i="44"/>
  <c r="Y32" i="44" s="1"/>
  <c r="M32" i="44"/>
  <c r="I32" i="44"/>
  <c r="E32" i="44"/>
  <c r="Z31" i="44"/>
  <c r="Y31" i="44" s="1"/>
  <c r="Z30" i="44"/>
  <c r="Y30" i="44" s="1"/>
  <c r="Z29" i="44"/>
  <c r="Y29" i="44" s="1"/>
  <c r="Z28" i="44"/>
  <c r="U28" i="44"/>
  <c r="Z27" i="44"/>
  <c r="M27" i="44"/>
  <c r="I27" i="44"/>
  <c r="E27" i="44"/>
  <c r="W27" i="44" s="1"/>
  <c r="Z26" i="44"/>
  <c r="Y26" i="44" s="1"/>
  <c r="Z25" i="44"/>
  <c r="Y25" i="44" s="1"/>
  <c r="Z24" i="44"/>
  <c r="Y24" i="44" s="1"/>
  <c r="Z23" i="44"/>
  <c r="U23" i="44"/>
  <c r="Z22" i="44"/>
  <c r="R22" i="44"/>
  <c r="U22" i="44" s="1"/>
  <c r="Q22" i="44"/>
  <c r="Z21" i="44"/>
  <c r="Y21" i="44" s="1"/>
  <c r="Z20" i="44"/>
  <c r="Y20" i="44" s="1"/>
  <c r="Z19" i="44"/>
  <c r="Y19" i="44" s="1"/>
  <c r="Z18" i="44"/>
  <c r="U18" i="44"/>
  <c r="Q17" i="44"/>
  <c r="R17" i="44" s="1"/>
  <c r="U17" i="44" s="1"/>
  <c r="Z16" i="44"/>
  <c r="Z15" i="44"/>
  <c r="Y15" i="44"/>
  <c r="Z14" i="44"/>
  <c r="Y14" i="44" s="1"/>
  <c r="ET12" i="17"/>
  <c r="M25" i="44" s="1"/>
  <c r="ES12" i="17"/>
  <c r="I25" i="44" s="1"/>
  <c r="ER12" i="17"/>
  <c r="E25" i="44" s="1"/>
  <c r="ET7" i="17"/>
  <c r="M24" i="44" s="1"/>
  <c r="ER7" i="17"/>
  <c r="E24" i="44" s="1"/>
  <c r="ES7" i="17"/>
  <c r="I24" i="44" s="1"/>
  <c r="ET5" i="17"/>
  <c r="M15" i="44" s="1"/>
  <c r="ES5" i="17"/>
  <c r="I15" i="44" s="1"/>
  <c r="ER5" i="17"/>
  <c r="E15" i="44" s="1"/>
  <c r="I38" i="44" l="1"/>
  <c r="EW7" i="17"/>
  <c r="EW5" i="17"/>
  <c r="EW12" i="17"/>
  <c r="Q27" i="44"/>
  <c r="R27" i="44" s="1"/>
  <c r="R39" i="44"/>
  <c r="W41" i="44"/>
  <c r="X39" i="44"/>
  <c r="U39" i="44"/>
  <c r="R35" i="44"/>
  <c r="X35" i="44" s="1"/>
  <c r="W40" i="44"/>
  <c r="Q35" i="44"/>
  <c r="W35" i="44"/>
  <c r="Q32" i="44"/>
  <c r="R32" i="44" s="1"/>
  <c r="U32" i="44" s="1"/>
  <c r="Q36" i="44"/>
  <c r="R36" i="44" s="1"/>
  <c r="Q39" i="44"/>
  <c r="Q40" i="44"/>
  <c r="W31" i="44"/>
  <c r="Q30" i="44"/>
  <c r="R29" i="44"/>
  <c r="X29" i="44" s="1"/>
  <c r="R26" i="44"/>
  <c r="X26" i="44" s="1"/>
  <c r="W25" i="44"/>
  <c r="Q21" i="44"/>
  <c r="W20" i="44"/>
  <c r="R19" i="44"/>
  <c r="X19" i="44" s="1"/>
  <c r="R14" i="44"/>
  <c r="X14" i="44" s="1"/>
  <c r="W29" i="44"/>
  <c r="E38" i="44"/>
  <c r="W36" i="44"/>
  <c r="R25" i="44"/>
  <c r="Q19" i="44"/>
  <c r="W19" i="44"/>
  <c r="M33" i="44"/>
  <c r="R30" i="44"/>
  <c r="X30" i="44" s="1"/>
  <c r="E33" i="44"/>
  <c r="M28" i="44"/>
  <c r="E28" i="44"/>
  <c r="I28" i="44"/>
  <c r="M23" i="44"/>
  <c r="I18" i="44"/>
  <c r="M18" i="44"/>
  <c r="Q14" i="44"/>
  <c r="E18" i="44"/>
  <c r="X36" i="44"/>
  <c r="U36" i="44"/>
  <c r="U27" i="44"/>
  <c r="X27" i="44"/>
  <c r="U35" i="44"/>
  <c r="W21" i="44"/>
  <c r="E23" i="44"/>
  <c r="Q24" i="44"/>
  <c r="I23" i="44"/>
  <c r="R24" i="44"/>
  <c r="W26" i="44"/>
  <c r="W34" i="44"/>
  <c r="E43" i="44"/>
  <c r="Q15" i="44"/>
  <c r="W14" i="44"/>
  <c r="R20" i="44"/>
  <c r="Q25" i="44"/>
  <c r="Q31" i="44"/>
  <c r="R31" i="44" s="1"/>
  <c r="I33" i="44"/>
  <c r="Q34" i="44"/>
  <c r="W39" i="44"/>
  <c r="R40" i="44"/>
  <c r="Q20" i="44"/>
  <c r="M43" i="44"/>
  <c r="R15" i="44"/>
  <c r="W24" i="44"/>
  <c r="W30" i="44"/>
  <c r="R34" i="44"/>
  <c r="Q41" i="44"/>
  <c r="R41" i="44" s="1"/>
  <c r="W15" i="44"/>
  <c r="E3" i="44" s="1" a="1"/>
  <c r="E3" i="44" s="1"/>
  <c r="D3" i="44" s="1"/>
  <c r="R16" i="44"/>
  <c r="R21" i="44"/>
  <c r="Q26" i="44"/>
  <c r="Q29" i="44"/>
  <c r="Q16" i="44"/>
  <c r="OL51" i="16"/>
  <c r="OL50" i="16"/>
  <c r="OL49" i="16"/>
  <c r="OL48" i="16"/>
  <c r="OL47" i="16"/>
  <c r="OL46" i="16"/>
  <c r="OL45" i="16"/>
  <c r="OL44" i="16"/>
  <c r="OL43" i="16"/>
  <c r="OL42" i="16"/>
  <c r="OL41" i="16"/>
  <c r="OL38" i="16"/>
  <c r="OL37" i="16"/>
  <c r="OL34" i="16"/>
  <c r="OL30" i="16"/>
  <c r="OL28" i="16"/>
  <c r="OL26" i="16"/>
  <c r="OL24" i="16"/>
  <c r="OL22" i="16"/>
  <c r="OL20" i="16"/>
  <c r="OL19" i="16"/>
  <c r="OL18" i="16"/>
  <c r="OL17" i="16"/>
  <c r="OL16" i="16"/>
  <c r="OL15" i="16"/>
  <c r="OL14" i="16"/>
  <c r="OL13" i="16"/>
  <c r="OL12" i="16"/>
  <c r="OL11" i="16"/>
  <c r="OL10" i="16"/>
  <c r="OL9" i="16"/>
  <c r="OL7" i="16"/>
  <c r="OL6" i="16"/>
  <c r="OL5" i="16"/>
  <c r="OL4" i="16"/>
  <c r="OK51" i="16"/>
  <c r="OK50" i="16"/>
  <c r="OK49" i="16"/>
  <c r="OK48" i="16"/>
  <c r="OK47" i="16"/>
  <c r="OK46" i="16"/>
  <c r="OK45" i="16"/>
  <c r="OK44" i="16"/>
  <c r="OK43" i="16"/>
  <c r="OK42" i="16"/>
  <c r="OK41" i="16"/>
  <c r="OK38" i="16"/>
  <c r="OK37" i="16"/>
  <c r="OK34" i="16"/>
  <c r="OK30" i="16"/>
  <c r="OK28" i="16"/>
  <c r="OK26" i="16"/>
  <c r="OK24" i="16"/>
  <c r="OK22" i="16"/>
  <c r="OK20" i="16"/>
  <c r="OK19" i="16"/>
  <c r="OK18" i="16"/>
  <c r="OK12" i="16"/>
  <c r="OK11" i="16"/>
  <c r="OK10" i="16"/>
  <c r="OK13" i="16"/>
  <c r="OK7" i="16"/>
  <c r="OK17" i="16"/>
  <c r="OK16" i="16"/>
  <c r="OK15" i="16"/>
  <c r="OK4" i="16"/>
  <c r="OK9" i="16"/>
  <c r="OK14" i="16"/>
  <c r="OK5" i="16"/>
  <c r="OK6" i="16"/>
  <c r="AA38" i="44" l="1"/>
  <c r="E2" i="44" a="1"/>
  <c r="E2" i="44" s="1"/>
  <c r="D2" i="44" s="1"/>
  <c r="X25" i="44"/>
  <c r="AA28" i="44"/>
  <c r="Q33" i="44"/>
  <c r="Q38" i="44"/>
  <c r="G24" i="44"/>
  <c r="H24" i="44" s="1"/>
  <c r="Q28" i="44"/>
  <c r="O39" i="44"/>
  <c r="AA18" i="44"/>
  <c r="Q18" i="44"/>
  <c r="K14" i="44"/>
  <c r="K19" i="44"/>
  <c r="U41" i="44"/>
  <c r="X41" i="44"/>
  <c r="X40" i="44"/>
  <c r="U40" i="44"/>
  <c r="G19" i="44"/>
  <c r="H19" i="44" s="1"/>
  <c r="AA23" i="44"/>
  <c r="Q23" i="44"/>
  <c r="O29" i="44"/>
  <c r="O34" i="44"/>
  <c r="O14" i="44"/>
  <c r="X21" i="44"/>
  <c r="U34" i="44"/>
  <c r="X34" i="44"/>
  <c r="AA43" i="44"/>
  <c r="G39" i="44"/>
  <c r="H39" i="44" s="1"/>
  <c r="Q43" i="44"/>
  <c r="G29" i="44"/>
  <c r="H29" i="44" s="1"/>
  <c r="AA33" i="44"/>
  <c r="K29" i="44"/>
  <c r="G14" i="44"/>
  <c r="H14" i="44" s="1"/>
  <c r="U16" i="44"/>
  <c r="X16" i="44"/>
  <c r="X20" i="44"/>
  <c r="X15" i="44"/>
  <c r="X31" i="44"/>
  <c r="K24" i="44"/>
  <c r="G34" i="44"/>
  <c r="H34" i="44" s="1"/>
  <c r="O24" i="44"/>
  <c r="X24" i="44"/>
  <c r="K39" i="44"/>
  <c r="K34" i="44"/>
  <c r="O19" i="44"/>
  <c r="B20" i="3"/>
  <c r="B39" i="3"/>
  <c r="B21" i="3"/>
  <c r="B9" i="3"/>
  <c r="Y36" i="43"/>
  <c r="Y35" i="43"/>
  <c r="Y34" i="43"/>
  <c r="M31" i="43"/>
  <c r="M30" i="43"/>
  <c r="M29" i="43"/>
  <c r="M25" i="43"/>
  <c r="M21" i="43"/>
  <c r="M20" i="43"/>
  <c r="M19" i="43"/>
  <c r="M16" i="43"/>
  <c r="M15" i="43"/>
  <c r="I19" i="43"/>
  <c r="I20" i="43"/>
  <c r="I21" i="43"/>
  <c r="I25" i="43"/>
  <c r="I29" i="43"/>
  <c r="I30" i="43"/>
  <c r="I31" i="43"/>
  <c r="I36" i="43"/>
  <c r="I16" i="43"/>
  <c r="I15" i="43"/>
  <c r="E31" i="43"/>
  <c r="E30" i="43"/>
  <c r="E29" i="43"/>
  <c r="E25" i="43"/>
  <c r="E21" i="43"/>
  <c r="E20" i="43"/>
  <c r="E19" i="43"/>
  <c r="E16" i="43"/>
  <c r="E15" i="43"/>
  <c r="EQ5" i="17"/>
  <c r="M26" i="43" s="1"/>
  <c r="EP5" i="17"/>
  <c r="I26" i="43" s="1"/>
  <c r="EO5" i="17"/>
  <c r="EQ7" i="17"/>
  <c r="M24" i="43" s="1"/>
  <c r="EP7" i="17"/>
  <c r="I24" i="43" s="1"/>
  <c r="EO7" i="17"/>
  <c r="EQ18" i="17"/>
  <c r="M14" i="43" s="1"/>
  <c r="EP18" i="17"/>
  <c r="I14" i="43" s="1"/>
  <c r="EO18" i="17"/>
  <c r="E14" i="43" s="1"/>
  <c r="Z43" i="43"/>
  <c r="Y43" i="43" s="1"/>
  <c r="Z42" i="43"/>
  <c r="Y42" i="43" s="1"/>
  <c r="Q42" i="43"/>
  <c r="R42" i="43" s="1"/>
  <c r="Z41" i="43"/>
  <c r="Y41" i="43"/>
  <c r="M41" i="43"/>
  <c r="I41" i="43"/>
  <c r="E41" i="43"/>
  <c r="Z40" i="43"/>
  <c r="Y40" i="43"/>
  <c r="M40" i="43"/>
  <c r="I40" i="43"/>
  <c r="E40" i="43"/>
  <c r="Z39" i="43"/>
  <c r="Y39" i="43"/>
  <c r="M39" i="43"/>
  <c r="I39" i="43"/>
  <c r="E39" i="43"/>
  <c r="Z38" i="43"/>
  <c r="Y38" i="43" s="1"/>
  <c r="Z37" i="43"/>
  <c r="Y37" i="43"/>
  <c r="R37" i="43"/>
  <c r="Q37" i="43"/>
  <c r="Z36" i="43"/>
  <c r="Z35" i="43"/>
  <c r="M35" i="43"/>
  <c r="I35" i="43"/>
  <c r="E35" i="43"/>
  <c r="Z34" i="43"/>
  <c r="M34" i="43"/>
  <c r="I34" i="43"/>
  <c r="E34" i="43"/>
  <c r="Z33" i="43"/>
  <c r="Y33" i="43"/>
  <c r="Z32" i="43"/>
  <c r="Y32" i="43" s="1"/>
  <c r="M32" i="43"/>
  <c r="I32" i="43"/>
  <c r="E32" i="43"/>
  <c r="Z31" i="43"/>
  <c r="Y31" i="43" s="1"/>
  <c r="Z30" i="43"/>
  <c r="Y30" i="43" s="1"/>
  <c r="Z29" i="43"/>
  <c r="Y29" i="43" s="1"/>
  <c r="Z28" i="43"/>
  <c r="Z27" i="43"/>
  <c r="M27" i="43"/>
  <c r="I27" i="43"/>
  <c r="E27" i="43"/>
  <c r="Z26" i="43"/>
  <c r="Y26" i="43" s="1"/>
  <c r="Z25" i="43"/>
  <c r="Y25" i="43" s="1"/>
  <c r="Z24" i="43"/>
  <c r="Y24" i="43" s="1"/>
  <c r="Z23" i="43"/>
  <c r="Z22" i="43"/>
  <c r="Q22" i="43"/>
  <c r="R22" i="43" s="1"/>
  <c r="Z21" i="43"/>
  <c r="Y21" i="43" s="1"/>
  <c r="Z20" i="43"/>
  <c r="Y20" i="43"/>
  <c r="Z19" i="43"/>
  <c r="Y19" i="43" s="1"/>
  <c r="Z18" i="43"/>
  <c r="Q17" i="43"/>
  <c r="R17" i="43" s="1"/>
  <c r="Z16" i="43"/>
  <c r="Y16" i="43" s="1"/>
  <c r="Z15" i="43"/>
  <c r="Y15" i="43"/>
  <c r="Z14" i="43"/>
  <c r="Y14" i="43" s="1"/>
  <c r="S14" i="44" l="1"/>
  <c r="P14" i="44" s="1"/>
  <c r="L34" i="44"/>
  <c r="T29" i="44"/>
  <c r="L14" i="44"/>
  <c r="L39" i="44"/>
  <c r="S34" i="44"/>
  <c r="P34" i="44" s="1"/>
  <c r="T34" i="44"/>
  <c r="T24" i="44"/>
  <c r="S29" i="44"/>
  <c r="P29" i="44" s="1"/>
  <c r="T14" i="44"/>
  <c r="T39" i="44"/>
  <c r="S39" i="44"/>
  <c r="P39" i="44" s="1"/>
  <c r="E5" i="44" a="1"/>
  <c r="E5" i="44" s="1"/>
  <c r="D5" i="44" s="1"/>
  <c r="E4" i="44" a="1"/>
  <c r="E4" i="44" s="1"/>
  <c r="D4" i="44" s="1"/>
  <c r="T19" i="44"/>
  <c r="S19" i="44"/>
  <c r="P19" i="44" s="1"/>
  <c r="S24" i="44"/>
  <c r="P24" i="44" s="1"/>
  <c r="L19" i="44"/>
  <c r="L29" i="44"/>
  <c r="L24" i="44"/>
  <c r="E24" i="43"/>
  <c r="E26" i="43"/>
  <c r="R26" i="43" s="1"/>
  <c r="X26" i="43" s="1"/>
  <c r="Q35" i="43"/>
  <c r="Q27" i="43"/>
  <c r="R27" i="43" s="1"/>
  <c r="X27" i="43" s="1"/>
  <c r="W20" i="43"/>
  <c r="W19" i="43"/>
  <c r="W34" i="43"/>
  <c r="R39" i="43"/>
  <c r="X39" i="43" s="1"/>
  <c r="W35" i="43"/>
  <c r="W40" i="43"/>
  <c r="Q32" i="43"/>
  <c r="R32" i="43" s="1"/>
  <c r="W30" i="43"/>
  <c r="Q39" i="43"/>
  <c r="M23" i="43"/>
  <c r="Q34" i="43"/>
  <c r="W25" i="43"/>
  <c r="W27" i="43"/>
  <c r="R29" i="43"/>
  <c r="X29" i="43" s="1"/>
  <c r="R34" i="43"/>
  <c r="W39" i="43"/>
  <c r="I43" i="43"/>
  <c r="R19" i="43"/>
  <c r="X19" i="43" s="1"/>
  <c r="Q19" i="43"/>
  <c r="Q25" i="43"/>
  <c r="I33" i="43"/>
  <c r="W31" i="43"/>
  <c r="W41" i="43"/>
  <c r="W21" i="43"/>
  <c r="M33" i="43"/>
  <c r="Q31" i="43"/>
  <c r="R31" i="43" s="1"/>
  <c r="X31" i="43" s="1"/>
  <c r="E23" i="43"/>
  <c r="I23" i="43"/>
  <c r="R35" i="43"/>
  <c r="E43" i="43"/>
  <c r="Q30" i="43"/>
  <c r="Q20" i="43"/>
  <c r="W29" i="43"/>
  <c r="R30" i="43"/>
  <c r="E33" i="43"/>
  <c r="Q40" i="43"/>
  <c r="M43" i="43"/>
  <c r="R15" i="43"/>
  <c r="R20" i="43"/>
  <c r="Q41" i="43"/>
  <c r="R41" i="43" s="1"/>
  <c r="R40" i="43"/>
  <c r="Q21" i="43"/>
  <c r="R25" i="43"/>
  <c r="W15" i="43"/>
  <c r="R21" i="43"/>
  <c r="Q29" i="43"/>
  <c r="Q15" i="43"/>
  <c r="N60" i="14"/>
  <c r="N59" i="14"/>
  <c r="N58" i="14"/>
  <c r="N56" i="14"/>
  <c r="N54" i="14"/>
  <c r="N53" i="14"/>
  <c r="N50" i="14"/>
  <c r="N38" i="14"/>
  <c r="N37" i="14"/>
  <c r="N34" i="14"/>
  <c r="N33" i="14"/>
  <c r="W26" i="43" l="1"/>
  <c r="Q26" i="43"/>
  <c r="X34" i="43"/>
  <c r="X20" i="43"/>
  <c r="AA23" i="43"/>
  <c r="Q23" i="43"/>
  <c r="X15" i="43"/>
  <c r="AA43" i="43"/>
  <c r="Q43" i="43"/>
  <c r="X25" i="43"/>
  <c r="X35" i="43"/>
  <c r="X21" i="43"/>
  <c r="X40" i="43"/>
  <c r="Q33" i="43"/>
  <c r="AA33" i="43"/>
  <c r="X30" i="43"/>
  <c r="X41" i="43"/>
  <c r="EV48" i="17" l="1"/>
  <c r="EV49" i="17"/>
  <c r="EV50" i="17"/>
  <c r="EV51" i="17"/>
  <c r="EV14" i="17"/>
  <c r="B32" i="3" l="1"/>
  <c r="B17" i="3"/>
  <c r="Y36" i="42"/>
  <c r="Y35" i="42"/>
  <c r="Y34" i="42"/>
  <c r="Y31" i="42"/>
  <c r="Y30" i="42"/>
  <c r="Y29" i="42"/>
  <c r="Y26" i="42"/>
  <c r="Y25" i="42"/>
  <c r="Y24" i="42"/>
  <c r="Y19" i="42"/>
  <c r="Y21" i="42"/>
  <c r="Y15" i="42"/>
  <c r="Y16" i="42"/>
  <c r="Y14" i="42"/>
  <c r="Y20" i="42"/>
  <c r="M35" i="42"/>
  <c r="M34" i="42"/>
  <c r="M31" i="42"/>
  <c r="M30" i="42"/>
  <c r="M29" i="42"/>
  <c r="M26" i="42"/>
  <c r="M25" i="42"/>
  <c r="M21" i="42"/>
  <c r="M20" i="42"/>
  <c r="M19" i="42"/>
  <c r="M15" i="42"/>
  <c r="I35" i="42"/>
  <c r="I34" i="42"/>
  <c r="I31" i="42"/>
  <c r="I30" i="42"/>
  <c r="I29" i="42"/>
  <c r="I26" i="42"/>
  <c r="I25" i="42"/>
  <c r="I21" i="42"/>
  <c r="I20" i="42"/>
  <c r="I19" i="42"/>
  <c r="I15" i="42"/>
  <c r="E29" i="42"/>
  <c r="E30" i="42"/>
  <c r="E31" i="42"/>
  <c r="E34" i="42"/>
  <c r="E35" i="42"/>
  <c r="E26" i="42"/>
  <c r="E25" i="42"/>
  <c r="E21" i="42"/>
  <c r="E20" i="42"/>
  <c r="E19" i="42"/>
  <c r="E15" i="42"/>
  <c r="Z43" i="42"/>
  <c r="Y43" i="42" s="1"/>
  <c r="Z42" i="42"/>
  <c r="Y42" i="42" s="1"/>
  <c r="R42" i="42"/>
  <c r="Q42" i="42"/>
  <c r="Z41" i="42"/>
  <c r="Y41" i="42"/>
  <c r="M41" i="42"/>
  <c r="I41" i="42"/>
  <c r="E41" i="42"/>
  <c r="Z40" i="42"/>
  <c r="Y40" i="42" s="1"/>
  <c r="M40" i="42"/>
  <c r="I40" i="42"/>
  <c r="E40" i="42"/>
  <c r="Z39" i="42"/>
  <c r="Y39" i="42"/>
  <c r="M39" i="42"/>
  <c r="I39" i="42"/>
  <c r="E39" i="42"/>
  <c r="Z38" i="42"/>
  <c r="Y38" i="42"/>
  <c r="Z37" i="42"/>
  <c r="Y37" i="42" s="1"/>
  <c r="R37" i="42"/>
  <c r="Q37" i="42"/>
  <c r="Z36" i="42"/>
  <c r="Z35" i="42"/>
  <c r="Z34" i="42"/>
  <c r="Z33" i="42"/>
  <c r="Y33" i="42" s="1"/>
  <c r="Z32" i="42"/>
  <c r="Y32" i="42" s="1"/>
  <c r="M32" i="42"/>
  <c r="I32" i="42"/>
  <c r="E32" i="42"/>
  <c r="Z31" i="42"/>
  <c r="Z30" i="42"/>
  <c r="Z29" i="42"/>
  <c r="Z28" i="42"/>
  <c r="Z27" i="42"/>
  <c r="M27" i="42"/>
  <c r="I27" i="42"/>
  <c r="E27" i="42"/>
  <c r="Z26" i="42"/>
  <c r="Z25" i="42"/>
  <c r="Z24" i="42"/>
  <c r="Z23" i="42"/>
  <c r="Z22" i="42"/>
  <c r="Q22" i="42"/>
  <c r="R22" i="42" s="1"/>
  <c r="Z21" i="42"/>
  <c r="Z20" i="42"/>
  <c r="Z19" i="42"/>
  <c r="Z18" i="42"/>
  <c r="Q17" i="42"/>
  <c r="R17" i="42" s="1"/>
  <c r="Z16" i="42"/>
  <c r="Z15" i="42"/>
  <c r="Z14" i="42"/>
  <c r="EN12" i="17"/>
  <c r="EM12" i="17"/>
  <c r="EL12" i="17"/>
  <c r="EN18" i="17"/>
  <c r="EM18" i="17"/>
  <c r="EL18" i="17"/>
  <c r="EN5" i="17"/>
  <c r="EM5" i="17"/>
  <c r="EL5" i="17"/>
  <c r="EN7" i="17"/>
  <c r="EM7" i="17"/>
  <c r="EL7" i="17"/>
  <c r="M16" i="42" l="1"/>
  <c r="E14" i="42"/>
  <c r="M24" i="42"/>
  <c r="M28" i="42" s="1"/>
  <c r="M28" i="43"/>
  <c r="I16" i="42"/>
  <c r="E24" i="42"/>
  <c r="E28" i="42" s="1"/>
  <c r="I24" i="42"/>
  <c r="I28" i="43"/>
  <c r="I14" i="42"/>
  <c r="I18" i="43"/>
  <c r="E36" i="42"/>
  <c r="E38" i="42" s="1"/>
  <c r="E36" i="43"/>
  <c r="M14" i="42"/>
  <c r="I36" i="42"/>
  <c r="I38" i="43"/>
  <c r="E16" i="42"/>
  <c r="M36" i="42"/>
  <c r="M38" i="42" s="1"/>
  <c r="M36" i="43"/>
  <c r="M38" i="43" s="1"/>
  <c r="M43" i="42"/>
  <c r="R39" i="42"/>
  <c r="X39" i="42" s="1"/>
  <c r="Q27" i="42"/>
  <c r="R27" i="42" s="1"/>
  <c r="X27" i="42" s="1"/>
  <c r="Q32" i="42"/>
  <c r="R32" i="42" s="1"/>
  <c r="W41" i="42"/>
  <c r="W40" i="42"/>
  <c r="R40" i="42"/>
  <c r="X40" i="42" s="1"/>
  <c r="I43" i="42"/>
  <c r="W27" i="42"/>
  <c r="Q35" i="42"/>
  <c r="W31" i="42"/>
  <c r="R30" i="42"/>
  <c r="X30" i="42" s="1"/>
  <c r="R26" i="42"/>
  <c r="X26" i="42" s="1"/>
  <c r="R21" i="42"/>
  <c r="X21" i="42" s="1"/>
  <c r="W20" i="42"/>
  <c r="R19" i="42"/>
  <c r="X19" i="42" s="1"/>
  <c r="W15" i="42"/>
  <c r="Q30" i="42"/>
  <c r="Q21" i="42"/>
  <c r="W19" i="42"/>
  <c r="W35" i="42"/>
  <c r="I33" i="42"/>
  <c r="M33" i="42"/>
  <c r="W30" i="42"/>
  <c r="E33" i="42"/>
  <c r="R29" i="42"/>
  <c r="Q25" i="42"/>
  <c r="W25" i="42"/>
  <c r="W21" i="42"/>
  <c r="M23" i="42"/>
  <c r="I23" i="42"/>
  <c r="Q19" i="42"/>
  <c r="E23" i="42"/>
  <c r="W26" i="42"/>
  <c r="W34" i="42"/>
  <c r="R35" i="42"/>
  <c r="E43" i="42"/>
  <c r="Q40" i="42"/>
  <c r="Q31" i="42"/>
  <c r="R31" i="42" s="1"/>
  <c r="Q34" i="42"/>
  <c r="W39" i="42"/>
  <c r="W29" i="42"/>
  <c r="Q15" i="42"/>
  <c r="Q20" i="42"/>
  <c r="R34" i="42"/>
  <c r="Q41" i="42"/>
  <c r="R41" i="42" s="1"/>
  <c r="R25" i="42"/>
  <c r="R20" i="42"/>
  <c r="Q26" i="42"/>
  <c r="Q29" i="42"/>
  <c r="R15" i="42"/>
  <c r="Q39" i="42"/>
  <c r="I18" i="42" l="1"/>
  <c r="M18" i="42"/>
  <c r="O29" i="42" s="1"/>
  <c r="W36" i="42"/>
  <c r="Q24" i="42"/>
  <c r="E18" i="42"/>
  <c r="G29" i="42" s="1"/>
  <c r="H29" i="42" s="1"/>
  <c r="Q16" i="42"/>
  <c r="M18" i="43"/>
  <c r="O34" i="43" s="1"/>
  <c r="I38" i="42"/>
  <c r="Q38" i="42" s="1"/>
  <c r="Q36" i="42"/>
  <c r="R36" i="42" s="1"/>
  <c r="X36" i="42" s="1"/>
  <c r="I28" i="42"/>
  <c r="R14" i="42"/>
  <c r="X14" i="42" s="1"/>
  <c r="W16" i="42"/>
  <c r="R16" i="42"/>
  <c r="X16" i="42" s="1"/>
  <c r="Q14" i="42"/>
  <c r="R24" i="42"/>
  <c r="X24" i="42" s="1"/>
  <c r="W14" i="42"/>
  <c r="W24" i="42"/>
  <c r="W36" i="43"/>
  <c r="Q36" i="43"/>
  <c r="R36" i="43" s="1"/>
  <c r="X36" i="43" s="1"/>
  <c r="E38" i="43"/>
  <c r="R16" i="43"/>
  <c r="X16" i="43" s="1"/>
  <c r="W16" i="43"/>
  <c r="Q16" i="43"/>
  <c r="K39" i="43"/>
  <c r="K14" i="43"/>
  <c r="K29" i="43"/>
  <c r="K19" i="43"/>
  <c r="K34" i="43"/>
  <c r="K24" i="43"/>
  <c r="R14" i="43"/>
  <c r="X14" i="43" s="1"/>
  <c r="W14" i="43"/>
  <c r="E18" i="43"/>
  <c r="Q14" i="43"/>
  <c r="Q24" i="43"/>
  <c r="W24" i="43"/>
  <c r="E28" i="43"/>
  <c r="R24" i="43"/>
  <c r="X24" i="43" s="1"/>
  <c r="AA33" i="42"/>
  <c r="X29" i="42"/>
  <c r="Q33" i="42"/>
  <c r="AA43" i="42"/>
  <c r="Q43" i="42"/>
  <c r="X20" i="42"/>
  <c r="X35" i="42"/>
  <c r="X15" i="42"/>
  <c r="X41" i="42"/>
  <c r="X25" i="42"/>
  <c r="X34" i="42"/>
  <c r="X31" i="42"/>
  <c r="AA23" i="42"/>
  <c r="Q23" i="42"/>
  <c r="AA18" i="42" l="1"/>
  <c r="E3" i="42" a="1"/>
  <c r="E3" i="42" s="1"/>
  <c r="D3" i="42" s="1"/>
  <c r="G19" i="42"/>
  <c r="H19" i="42" s="1"/>
  <c r="G34" i="42"/>
  <c r="H34" i="42" s="1"/>
  <c r="G39" i="42"/>
  <c r="H39" i="42" s="1"/>
  <c r="K14" i="42"/>
  <c r="G24" i="42"/>
  <c r="H24" i="42" s="1"/>
  <c r="G14" i="42"/>
  <c r="H14" i="42" s="1"/>
  <c r="E2" i="43" a="1"/>
  <c r="E2" i="43" s="1"/>
  <c r="D2" i="43" s="1"/>
  <c r="E2" i="42" a="1"/>
  <c r="E2" i="42" s="1"/>
  <c r="D2" i="42" s="1"/>
  <c r="O29" i="43"/>
  <c r="O19" i="43"/>
  <c r="O19" i="42"/>
  <c r="K29" i="42"/>
  <c r="Q18" i="42"/>
  <c r="O14" i="42"/>
  <c r="O34" i="42"/>
  <c r="O24" i="42"/>
  <c r="Q28" i="42"/>
  <c r="O39" i="42"/>
  <c r="AA28" i="42"/>
  <c r="K39" i="42"/>
  <c r="E3" i="43" a="1"/>
  <c r="E3" i="43" s="1"/>
  <c r="D3" i="43" s="1"/>
  <c r="K34" i="42"/>
  <c r="K24" i="42"/>
  <c r="AA38" i="42"/>
  <c r="O14" i="43"/>
  <c r="O39" i="43"/>
  <c r="O24" i="43"/>
  <c r="K19" i="42"/>
  <c r="AA28" i="43"/>
  <c r="Q28" i="43"/>
  <c r="G24" i="43"/>
  <c r="H24" i="43" s="1"/>
  <c r="Q18" i="43"/>
  <c r="G14" i="43"/>
  <c r="H14" i="43" s="1"/>
  <c r="G39" i="43"/>
  <c r="H39" i="43" s="1"/>
  <c r="AA18" i="43"/>
  <c r="G19" i="43"/>
  <c r="H19" i="43" s="1"/>
  <c r="G29" i="43"/>
  <c r="H29" i="43" s="1"/>
  <c r="E5" i="43" a="1"/>
  <c r="E5" i="43" s="1"/>
  <c r="D5" i="43" s="1"/>
  <c r="E4" i="43" a="1"/>
  <c r="E4" i="43" s="1"/>
  <c r="D4" i="43" s="1"/>
  <c r="G34" i="43"/>
  <c r="H34" i="43" s="1"/>
  <c r="AA38" i="43"/>
  <c r="Q38" i="43"/>
  <c r="E4" i="42" a="1"/>
  <c r="E4" i="42" s="1"/>
  <c r="E5" i="42" a="1"/>
  <c r="E5" i="42" s="1"/>
  <c r="D5" i="42" s="1"/>
  <c r="B38" i="3"/>
  <c r="B14" i="3"/>
  <c r="M36" i="41"/>
  <c r="M35" i="41"/>
  <c r="M34" i="41"/>
  <c r="M31" i="41"/>
  <c r="M30" i="41"/>
  <c r="M25" i="41"/>
  <c r="M24" i="41"/>
  <c r="M21" i="41"/>
  <c r="M19" i="41"/>
  <c r="M16" i="41"/>
  <c r="M14" i="41"/>
  <c r="I35" i="41"/>
  <c r="I34" i="41"/>
  <c r="I31" i="41"/>
  <c r="I30" i="41"/>
  <c r="I25" i="41"/>
  <c r="I24" i="41"/>
  <c r="I21" i="41"/>
  <c r="I19" i="41"/>
  <c r="I16" i="41"/>
  <c r="I14" i="41"/>
  <c r="E35" i="41"/>
  <c r="E34" i="41"/>
  <c r="E31" i="41"/>
  <c r="E30" i="41"/>
  <c r="E25" i="41"/>
  <c r="E24" i="41"/>
  <c r="E21" i="41"/>
  <c r="E19" i="41"/>
  <c r="E16" i="41"/>
  <c r="E14" i="41"/>
  <c r="Z22" i="41"/>
  <c r="Z43" i="41"/>
  <c r="Y43" i="41" s="1"/>
  <c r="Z42" i="41"/>
  <c r="Y42" i="41" s="1"/>
  <c r="R42" i="41"/>
  <c r="Q42" i="41"/>
  <c r="Z41" i="41"/>
  <c r="Y41" i="41"/>
  <c r="M41" i="41"/>
  <c r="I41" i="41"/>
  <c r="E41" i="41"/>
  <c r="Z40" i="41"/>
  <c r="Y40" i="41" s="1"/>
  <c r="M40" i="41"/>
  <c r="I40" i="41"/>
  <c r="E40" i="41"/>
  <c r="Z39" i="41"/>
  <c r="Y39" i="41"/>
  <c r="M39" i="41"/>
  <c r="I39" i="41"/>
  <c r="E39" i="41"/>
  <c r="Z38" i="41"/>
  <c r="Y38" i="41" s="1"/>
  <c r="Z37" i="41"/>
  <c r="Y37" i="41" s="1"/>
  <c r="Q37" i="41"/>
  <c r="R37" i="41" s="1"/>
  <c r="Z36" i="41"/>
  <c r="Y36" i="41" s="1"/>
  <c r="Z35" i="41"/>
  <c r="Y35" i="41" s="1"/>
  <c r="Z34" i="41"/>
  <c r="Y34" i="41" s="1"/>
  <c r="Z33" i="41"/>
  <c r="Y33" i="41" s="1"/>
  <c r="Z32" i="41"/>
  <c r="Y32" i="41" s="1"/>
  <c r="M32" i="41"/>
  <c r="I32" i="41"/>
  <c r="E32" i="41"/>
  <c r="Z31" i="41"/>
  <c r="Y31" i="41" s="1"/>
  <c r="Z30" i="41"/>
  <c r="Y30" i="41"/>
  <c r="Z29" i="41"/>
  <c r="Y29" i="41" s="1"/>
  <c r="Z28" i="41"/>
  <c r="Z27" i="41"/>
  <c r="M27" i="41"/>
  <c r="I27" i="41"/>
  <c r="E27" i="41"/>
  <c r="Z26" i="41"/>
  <c r="Y26" i="41" s="1"/>
  <c r="Z25" i="41"/>
  <c r="Y25" i="41" s="1"/>
  <c r="Z24" i="41"/>
  <c r="Z23" i="41"/>
  <c r="Q22" i="41"/>
  <c r="R22" i="41" s="1"/>
  <c r="Z21" i="41"/>
  <c r="Z20" i="41"/>
  <c r="Y20" i="41"/>
  <c r="Z19" i="41"/>
  <c r="Y19" i="41"/>
  <c r="Z18" i="41"/>
  <c r="Q17" i="41"/>
  <c r="R17" i="41" s="1"/>
  <c r="Z16" i="41"/>
  <c r="Y16" i="41" s="1"/>
  <c r="Z15" i="41"/>
  <c r="Y15" i="41"/>
  <c r="Z14" i="41"/>
  <c r="Y14" i="41"/>
  <c r="EK12" i="17"/>
  <c r="M26" i="41" s="1"/>
  <c r="EJ12" i="17"/>
  <c r="I26" i="41" s="1"/>
  <c r="EI12" i="17"/>
  <c r="EJ24" i="17"/>
  <c r="EI24" i="17"/>
  <c r="E36" i="41" s="1"/>
  <c r="EK7" i="17"/>
  <c r="M20" i="41" s="1"/>
  <c r="EJ7" i="17"/>
  <c r="I20" i="41" s="1"/>
  <c r="EI7" i="17"/>
  <c r="E20" i="41" s="1"/>
  <c r="EK18" i="17"/>
  <c r="M29" i="41" s="1"/>
  <c r="EJ18" i="17"/>
  <c r="I29" i="41" s="1"/>
  <c r="EI18" i="17"/>
  <c r="EK5" i="17"/>
  <c r="M15" i="41" s="1"/>
  <c r="EJ5" i="17"/>
  <c r="I15" i="41" s="1"/>
  <c r="EI5" i="17"/>
  <c r="T39" i="42" l="1"/>
  <c r="S39" i="42"/>
  <c r="P39" i="42" s="1"/>
  <c r="S14" i="42"/>
  <c r="P14" i="42" s="1"/>
  <c r="S34" i="42"/>
  <c r="P34" i="42" s="1"/>
  <c r="T29" i="42"/>
  <c r="S24" i="42"/>
  <c r="P24" i="42" s="1"/>
  <c r="T34" i="42"/>
  <c r="S29" i="42"/>
  <c r="P29" i="42" s="1"/>
  <c r="L14" i="42"/>
  <c r="T14" i="42"/>
  <c r="T19" i="42"/>
  <c r="T24" i="42"/>
  <c r="S19" i="42"/>
  <c r="P19" i="42" s="1"/>
  <c r="L29" i="42"/>
  <c r="S34" i="43"/>
  <c r="P34" i="43" s="1"/>
  <c r="L19" i="42"/>
  <c r="L24" i="42"/>
  <c r="L34" i="42"/>
  <c r="L39" i="42"/>
  <c r="L14" i="43"/>
  <c r="L29" i="43"/>
  <c r="L39" i="43"/>
  <c r="L19" i="43"/>
  <c r="L34" i="43"/>
  <c r="S39" i="43"/>
  <c r="P39" i="43" s="1"/>
  <c r="T14" i="43"/>
  <c r="S19" i="43"/>
  <c r="P19" i="43" s="1"/>
  <c r="T34" i="43"/>
  <c r="S14" i="43"/>
  <c r="P14" i="43" s="1"/>
  <c r="T24" i="43"/>
  <c r="S29" i="43"/>
  <c r="P29" i="43" s="1"/>
  <c r="T19" i="43"/>
  <c r="T29" i="43"/>
  <c r="T39" i="43"/>
  <c r="S24" i="43"/>
  <c r="P24" i="43" s="1"/>
  <c r="L24" i="43"/>
  <c r="W41" i="41"/>
  <c r="M43" i="41"/>
  <c r="R40" i="41"/>
  <c r="X40" i="41" s="1"/>
  <c r="W27" i="41"/>
  <c r="Q32" i="41"/>
  <c r="R32" i="41" s="1"/>
  <c r="W40" i="41"/>
  <c r="E15" i="41"/>
  <c r="R15" i="41" s="1"/>
  <c r="E26" i="41"/>
  <c r="R26" i="41" s="1"/>
  <c r="X26" i="41" s="1"/>
  <c r="E29" i="41"/>
  <c r="R29" i="41" s="1"/>
  <c r="R39" i="41"/>
  <c r="X39" i="41" s="1"/>
  <c r="I43" i="41"/>
  <c r="E43" i="41"/>
  <c r="I36" i="41"/>
  <c r="W36" i="41" s="1"/>
  <c r="W35" i="41"/>
  <c r="Q34" i="41"/>
  <c r="Q31" i="41"/>
  <c r="R31" i="41" s="1"/>
  <c r="X31" i="41" s="1"/>
  <c r="W30" i="41"/>
  <c r="Q25" i="41"/>
  <c r="W21" i="41"/>
  <c r="R19" i="41"/>
  <c r="X19" i="41" s="1"/>
  <c r="W16" i="41"/>
  <c r="R14" i="41"/>
  <c r="X14" i="41" s="1"/>
  <c r="I18" i="41"/>
  <c r="R30" i="41"/>
  <c r="X30" i="41" s="1"/>
  <c r="Q24" i="41"/>
  <c r="R24" i="41"/>
  <c r="Q19" i="41"/>
  <c r="M38" i="41"/>
  <c r="R34" i="41"/>
  <c r="X34" i="41" s="1"/>
  <c r="M33" i="41"/>
  <c r="I33" i="41"/>
  <c r="R25" i="41"/>
  <c r="X25" i="41" s="1"/>
  <c r="W20" i="41"/>
  <c r="I23" i="41"/>
  <c r="M23" i="41"/>
  <c r="M18" i="41"/>
  <c r="W24" i="41"/>
  <c r="W14" i="41"/>
  <c r="W25" i="41"/>
  <c r="I28" i="41"/>
  <c r="W31" i="41"/>
  <c r="Q40" i="41"/>
  <c r="W19" i="41"/>
  <c r="R20" i="41"/>
  <c r="Q16" i="41"/>
  <c r="Q21" i="41"/>
  <c r="Q27" i="41"/>
  <c r="R27" i="41" s="1"/>
  <c r="M28" i="41"/>
  <c r="Q35" i="41"/>
  <c r="W39" i="41"/>
  <c r="Q20" i="41"/>
  <c r="R21" i="41"/>
  <c r="W34" i="41"/>
  <c r="R35" i="41"/>
  <c r="Q41" i="41"/>
  <c r="R41" i="41" s="1"/>
  <c r="R16" i="41"/>
  <c r="E23" i="41"/>
  <c r="Q14" i="41"/>
  <c r="Q30" i="41"/>
  <c r="E38" i="41"/>
  <c r="Q39" i="41"/>
  <c r="OM13" i="16"/>
  <c r="ON13" i="16"/>
  <c r="OO13" i="16"/>
  <c r="Q29" i="41" l="1"/>
  <c r="E33" i="41"/>
  <c r="AA33" i="41" s="1"/>
  <c r="Q15" i="41"/>
  <c r="W15" i="41"/>
  <c r="AA43" i="41"/>
  <c r="Q43" i="41"/>
  <c r="Q26" i="41"/>
  <c r="E18" i="41"/>
  <c r="W26" i="41"/>
  <c r="E28" i="41"/>
  <c r="Q28" i="41" s="1"/>
  <c r="Q36" i="41"/>
  <c r="R36" i="41" s="1"/>
  <c r="X36" i="41" s="1"/>
  <c r="W29" i="41"/>
  <c r="I38" i="41"/>
  <c r="Q38" i="41" s="1"/>
  <c r="X24" i="41"/>
  <c r="O24" i="41"/>
  <c r="Q23" i="41"/>
  <c r="AA23" i="41"/>
  <c r="X16" i="41"/>
  <c r="X20" i="41"/>
  <c r="X29" i="41"/>
  <c r="O39" i="41"/>
  <c r="X41" i="41"/>
  <c r="X35" i="41"/>
  <c r="X15" i="41"/>
  <c r="O34" i="41"/>
  <c r="O29" i="41"/>
  <c r="X27" i="41"/>
  <c r="O19" i="41"/>
  <c r="O14" i="41"/>
  <c r="X21" i="41"/>
  <c r="I47" i="14"/>
  <c r="H47" i="14"/>
  <c r="G47" i="14"/>
  <c r="F47" i="14"/>
  <c r="E47" i="14"/>
  <c r="D47" i="14"/>
  <c r="K39" i="41" l="1"/>
  <c r="K14" i="41"/>
  <c r="AA38" i="41"/>
  <c r="Q33" i="41"/>
  <c r="E2" i="41" a="1"/>
  <c r="E2" i="41" s="1"/>
  <c r="D2" i="41" s="1"/>
  <c r="E3" i="41" a="1"/>
  <c r="E3" i="41" s="1"/>
  <c r="D3" i="41" s="1"/>
  <c r="K24" i="41"/>
  <c r="K19" i="41"/>
  <c r="G14" i="41"/>
  <c r="H14" i="41" s="1"/>
  <c r="G34" i="41"/>
  <c r="H34" i="41" s="1"/>
  <c r="AA28" i="41"/>
  <c r="G24" i="41"/>
  <c r="H24" i="41" s="1"/>
  <c r="G19" i="41"/>
  <c r="H19" i="41" s="1"/>
  <c r="G29" i="41"/>
  <c r="H29" i="41" s="1"/>
  <c r="AA18" i="41"/>
  <c r="K34" i="41"/>
  <c r="K29" i="41"/>
  <c r="G39" i="41"/>
  <c r="H39" i="41" s="1"/>
  <c r="Q18" i="41"/>
  <c r="E4" i="41" a="1"/>
  <c r="E4" i="41" s="1"/>
  <c r="D4" i="41" s="1"/>
  <c r="E5" i="41" a="1"/>
  <c r="E5" i="41" s="1"/>
  <c r="D5" i="41" s="1"/>
  <c r="B11" i="3"/>
  <c r="M35" i="40"/>
  <c r="M30" i="40"/>
  <c r="M29" i="40"/>
  <c r="M24" i="40"/>
  <c r="M20" i="40"/>
  <c r="M19" i="40"/>
  <c r="M16" i="40"/>
  <c r="M14" i="40"/>
  <c r="I35" i="40"/>
  <c r="I30" i="40"/>
  <c r="I29" i="40"/>
  <c r="I24" i="40"/>
  <c r="I20" i="40"/>
  <c r="I19" i="40"/>
  <c r="I16" i="40"/>
  <c r="I14" i="40"/>
  <c r="E30" i="40"/>
  <c r="E29" i="40"/>
  <c r="E24" i="40"/>
  <c r="E20" i="40"/>
  <c r="E19" i="40"/>
  <c r="E16" i="40"/>
  <c r="E14" i="40"/>
  <c r="E35" i="40"/>
  <c r="EH18" i="17"/>
  <c r="M34" i="40" s="1"/>
  <c r="EG18" i="17"/>
  <c r="I34" i="40" s="1"/>
  <c r="EF18" i="17"/>
  <c r="EH14" i="17"/>
  <c r="M31" i="40" s="1"/>
  <c r="EG14" i="17"/>
  <c r="I31" i="40" s="1"/>
  <c r="EF14" i="17"/>
  <c r="EH12" i="17"/>
  <c r="M26" i="40" s="1"/>
  <c r="EG12" i="17"/>
  <c r="I26" i="40" s="1"/>
  <c r="EF12" i="17"/>
  <c r="EH7" i="17"/>
  <c r="M25" i="40" s="1"/>
  <c r="EG7" i="17"/>
  <c r="I25" i="40" s="1"/>
  <c r="EF7" i="17"/>
  <c r="EH19" i="17"/>
  <c r="M21" i="40" s="1"/>
  <c r="EG19" i="17"/>
  <c r="EF19" i="17"/>
  <c r="EH5" i="17"/>
  <c r="M15" i="40" s="1"/>
  <c r="EG5" i="17"/>
  <c r="I15" i="40" s="1"/>
  <c r="EF5" i="17"/>
  <c r="Z43" i="40"/>
  <c r="Y43" i="40"/>
  <c r="Z42" i="40"/>
  <c r="Y42" i="40"/>
  <c r="R42" i="40"/>
  <c r="Q42" i="40"/>
  <c r="Z41" i="40"/>
  <c r="Y41" i="40" s="1"/>
  <c r="M41" i="40"/>
  <c r="I41" i="40"/>
  <c r="E41" i="40"/>
  <c r="Z40" i="40"/>
  <c r="Y40" i="40" s="1"/>
  <c r="M40" i="40"/>
  <c r="I40" i="40"/>
  <c r="E40" i="40"/>
  <c r="Z39" i="40"/>
  <c r="Y39" i="40" s="1"/>
  <c r="M39" i="40"/>
  <c r="I39" i="40"/>
  <c r="E39" i="40"/>
  <c r="Z38" i="40"/>
  <c r="Y38" i="40"/>
  <c r="Z37" i="40"/>
  <c r="Y37" i="40" s="1"/>
  <c r="R37" i="40"/>
  <c r="Q37" i="40"/>
  <c r="Z36" i="40"/>
  <c r="Y36" i="40"/>
  <c r="Z35" i="40"/>
  <c r="Y35" i="40"/>
  <c r="Z34" i="40"/>
  <c r="Y34" i="40" s="1"/>
  <c r="Z33" i="40"/>
  <c r="Y33" i="40" s="1"/>
  <c r="Z32" i="40"/>
  <c r="Y32" i="40" s="1"/>
  <c r="M32" i="40"/>
  <c r="I32" i="40"/>
  <c r="E32" i="40"/>
  <c r="Z31" i="40"/>
  <c r="Y31" i="40" s="1"/>
  <c r="Z30" i="40"/>
  <c r="Y30" i="40"/>
  <c r="Z29" i="40"/>
  <c r="Y29" i="40" s="1"/>
  <c r="Z28" i="40"/>
  <c r="Z27" i="40"/>
  <c r="M27" i="40"/>
  <c r="I27" i="40"/>
  <c r="E27" i="40"/>
  <c r="Z26" i="40"/>
  <c r="Y26" i="40" s="1"/>
  <c r="Z25" i="40"/>
  <c r="Y25" i="40" s="1"/>
  <c r="Z24" i="40"/>
  <c r="Z23" i="40"/>
  <c r="R22" i="40"/>
  <c r="Q22" i="40"/>
  <c r="Z21" i="40"/>
  <c r="Z20" i="40"/>
  <c r="Y20" i="40"/>
  <c r="Z19" i="40"/>
  <c r="Y19" i="40" s="1"/>
  <c r="Z18" i="40"/>
  <c r="Q17" i="40"/>
  <c r="R17" i="40" s="1"/>
  <c r="Z16" i="40"/>
  <c r="Y16" i="40"/>
  <c r="Z15" i="40"/>
  <c r="Y15" i="40"/>
  <c r="Z14" i="40"/>
  <c r="Y14" i="40" s="1"/>
  <c r="E21" i="40" l="1"/>
  <c r="N47" i="14"/>
  <c r="S24" i="41"/>
  <c r="P24" i="41" s="1"/>
  <c r="L34" i="41"/>
  <c r="T34" i="41"/>
  <c r="L29" i="41"/>
  <c r="T14" i="41"/>
  <c r="L14" i="41"/>
  <c r="L24" i="41"/>
  <c r="L39" i="41"/>
  <c r="L19" i="41"/>
  <c r="S34" i="41"/>
  <c r="P34" i="41" s="1"/>
  <c r="S14" i="41"/>
  <c r="P14" i="41" s="1"/>
  <c r="T39" i="41"/>
  <c r="T24" i="41"/>
  <c r="T29" i="41"/>
  <c r="S39" i="41"/>
  <c r="P39" i="41" s="1"/>
  <c r="T19" i="41"/>
  <c r="S19" i="41"/>
  <c r="P19" i="41" s="1"/>
  <c r="S29" i="41"/>
  <c r="P29" i="41" s="1"/>
  <c r="E34" i="40"/>
  <c r="E38" i="40" s="1"/>
  <c r="K47" i="14"/>
  <c r="M47" i="14" s="1"/>
  <c r="J47" i="14"/>
  <c r="E26" i="40"/>
  <c r="EY19" i="17"/>
  <c r="E15" i="40"/>
  <c r="E18" i="40" s="1"/>
  <c r="E25" i="40"/>
  <c r="R25" i="40" s="1"/>
  <c r="X25" i="40" s="1"/>
  <c r="I21" i="40"/>
  <c r="E31" i="40"/>
  <c r="EZ19" i="17"/>
  <c r="R24" i="40"/>
  <c r="X24" i="40" s="1"/>
  <c r="W14" i="40"/>
  <c r="W27" i="40"/>
  <c r="Q36" i="40"/>
  <c r="R36" i="40" s="1"/>
  <c r="X36" i="40" s="1"/>
  <c r="W19" i="40"/>
  <c r="M38" i="40"/>
  <c r="R20" i="40"/>
  <c r="X20" i="40" s="1"/>
  <c r="M43" i="40"/>
  <c r="R30" i="40"/>
  <c r="X30" i="40" s="1"/>
  <c r="Q24" i="40"/>
  <c r="R40" i="40"/>
  <c r="X40" i="40" s="1"/>
  <c r="W41" i="40"/>
  <c r="I18" i="40"/>
  <c r="R39" i="40"/>
  <c r="X39" i="40" s="1"/>
  <c r="Q40" i="40"/>
  <c r="W40" i="40"/>
  <c r="M18" i="40"/>
  <c r="W16" i="40"/>
  <c r="W20" i="40"/>
  <c r="R29" i="40"/>
  <c r="X29" i="40" s="1"/>
  <c r="Q30" i="40"/>
  <c r="I38" i="40"/>
  <c r="I43" i="40"/>
  <c r="Q14" i="40"/>
  <c r="W30" i="40"/>
  <c r="Q32" i="40"/>
  <c r="R32" i="40" s="1"/>
  <c r="Q39" i="40"/>
  <c r="Q41" i="40"/>
  <c r="R41" i="40" s="1"/>
  <c r="Q19" i="40"/>
  <c r="Q16" i="40"/>
  <c r="Q27" i="40"/>
  <c r="R27" i="40" s="1"/>
  <c r="Q35" i="40"/>
  <c r="E43" i="40"/>
  <c r="R16" i="40"/>
  <c r="R35" i="40"/>
  <c r="R14" i="40"/>
  <c r="R19" i="40"/>
  <c r="W29" i="40"/>
  <c r="W35" i="40"/>
  <c r="W39" i="40"/>
  <c r="Q20" i="40"/>
  <c r="W24" i="40"/>
  <c r="Q29" i="40"/>
  <c r="OL40" i="16"/>
  <c r="OL39" i="16"/>
  <c r="OL36" i="16"/>
  <c r="OL35" i="16"/>
  <c r="OL33" i="16"/>
  <c r="OL32" i="16"/>
  <c r="OL31" i="16"/>
  <c r="OL29" i="16"/>
  <c r="OL27" i="16"/>
  <c r="OL25" i="16"/>
  <c r="OL21" i="16"/>
  <c r="OK40" i="16"/>
  <c r="OK39" i="16"/>
  <c r="OK36" i="16"/>
  <c r="OK35" i="16"/>
  <c r="OK33" i="16"/>
  <c r="OK32" i="16"/>
  <c r="OK31" i="16"/>
  <c r="OK29" i="16"/>
  <c r="OK27" i="16"/>
  <c r="OK25" i="16"/>
  <c r="OK21" i="16"/>
  <c r="OM12" i="16"/>
  <c r="ON12" i="16"/>
  <c r="B12" i="16"/>
  <c r="OO12" i="16" s="1"/>
  <c r="B11" i="16"/>
  <c r="OO11" i="16" s="1"/>
  <c r="B24" i="16"/>
  <c r="OO24" i="16" s="1"/>
  <c r="B51" i="16"/>
  <c r="B50" i="16"/>
  <c r="B49" i="16"/>
  <c r="B48" i="16"/>
  <c r="B47" i="16"/>
  <c r="B19" i="16"/>
  <c r="B46" i="16"/>
  <c r="B45" i="16"/>
  <c r="B44" i="16"/>
  <c r="B22" i="16"/>
  <c r="B39" i="16"/>
  <c r="B43" i="16"/>
  <c r="B42" i="16"/>
  <c r="B35" i="16"/>
  <c r="B41" i="16"/>
  <c r="B38" i="16"/>
  <c r="B37" i="16"/>
  <c r="B17" i="16"/>
  <c r="B14" i="16"/>
  <c r="B18" i="16"/>
  <c r="B21" i="16"/>
  <c r="B9" i="16"/>
  <c r="B6" i="16"/>
  <c r="B10" i="16"/>
  <c r="B20" i="16"/>
  <c r="B15" i="16"/>
  <c r="B4" i="16"/>
  <c r="B7" i="16"/>
  <c r="B28" i="16"/>
  <c r="B26" i="16"/>
  <c r="ON11" i="16"/>
  <c r="OM11" i="16"/>
  <c r="ON24" i="16"/>
  <c r="OM24" i="16"/>
  <c r="R15" i="40" l="1"/>
  <c r="X15" i="40" s="1"/>
  <c r="W34" i="40"/>
  <c r="Q34" i="40"/>
  <c r="R34" i="40"/>
  <c r="X34" i="40" s="1"/>
  <c r="Q15" i="40"/>
  <c r="W15" i="40"/>
  <c r="FA19" i="17"/>
  <c r="Q25" i="40"/>
  <c r="W25" i="40"/>
  <c r="Q38" i="40"/>
  <c r="AA38" i="40"/>
  <c r="Q18" i="40"/>
  <c r="AA18" i="40"/>
  <c r="X41" i="40"/>
  <c r="X19" i="40"/>
  <c r="AA43" i="40"/>
  <c r="Q43" i="40"/>
  <c r="X27" i="40"/>
  <c r="X16" i="40"/>
  <c r="X14" i="40"/>
  <c r="X35" i="40"/>
  <c r="D19" i="14"/>
  <c r="E19" i="14"/>
  <c r="F19" i="14"/>
  <c r="G19" i="14"/>
  <c r="H19" i="14"/>
  <c r="I19" i="14"/>
  <c r="B5" i="16"/>
  <c r="B12" i="3"/>
  <c r="B4" i="3"/>
  <c r="M30" i="39"/>
  <c r="M29" i="39"/>
  <c r="M25" i="39"/>
  <c r="M24" i="39"/>
  <c r="M20" i="39"/>
  <c r="M19" i="39"/>
  <c r="M16" i="39"/>
  <c r="M14" i="39"/>
  <c r="M15" i="39"/>
  <c r="I36" i="39"/>
  <c r="I30" i="39"/>
  <c r="I29" i="39"/>
  <c r="I25" i="39"/>
  <c r="I24" i="39"/>
  <c r="I20" i="39"/>
  <c r="I19" i="39"/>
  <c r="I16" i="39"/>
  <c r="I14" i="39"/>
  <c r="I15" i="39"/>
  <c r="EE5" i="17"/>
  <c r="EC5" i="17"/>
  <c r="ED5" i="17"/>
  <c r="E30" i="39"/>
  <c r="E29" i="39"/>
  <c r="E25" i="39"/>
  <c r="E24" i="39"/>
  <c r="E20" i="39"/>
  <c r="E19" i="39"/>
  <c r="E16" i="39"/>
  <c r="E14" i="39"/>
  <c r="E15" i="39"/>
  <c r="EW45" i="17"/>
  <c r="EW26" i="17"/>
  <c r="EE12" i="17"/>
  <c r="M33" i="40" s="1"/>
  <c r="ED12" i="17"/>
  <c r="EC12" i="17"/>
  <c r="EE24" i="17"/>
  <c r="ED24" i="17"/>
  <c r="EC24" i="17"/>
  <c r="I26" i="39" l="1"/>
  <c r="J19" i="14"/>
  <c r="I31" i="39"/>
  <c r="I33" i="40"/>
  <c r="E26" i="39"/>
  <c r="E28" i="40"/>
  <c r="E23" i="40"/>
  <c r="M31" i="39"/>
  <c r="I21" i="39"/>
  <c r="I23" i="40"/>
  <c r="I28" i="40"/>
  <c r="N19" i="14"/>
  <c r="K19" i="14"/>
  <c r="M19" i="14" s="1"/>
  <c r="M26" i="39"/>
  <c r="W26" i="40"/>
  <c r="E31" i="39"/>
  <c r="M21" i="39"/>
  <c r="M23" i="40"/>
  <c r="E21" i="39"/>
  <c r="Z43" i="39"/>
  <c r="Y43" i="39" s="1"/>
  <c r="Z42" i="39"/>
  <c r="Y42" i="39" s="1"/>
  <c r="Q42" i="39"/>
  <c r="R42" i="39" s="1"/>
  <c r="Z41" i="39"/>
  <c r="Y41" i="39"/>
  <c r="M41" i="39"/>
  <c r="I41" i="39"/>
  <c r="E41" i="39"/>
  <c r="Z40" i="39"/>
  <c r="Y40" i="39"/>
  <c r="M40" i="39"/>
  <c r="I40" i="39"/>
  <c r="E40" i="39"/>
  <c r="Z39" i="39"/>
  <c r="Y39" i="39" s="1"/>
  <c r="M39" i="39"/>
  <c r="I39" i="39"/>
  <c r="E39" i="39"/>
  <c r="Z38" i="39"/>
  <c r="Y38" i="39"/>
  <c r="Z37" i="39"/>
  <c r="Y37" i="39"/>
  <c r="Q37" i="39"/>
  <c r="R37" i="39" s="1"/>
  <c r="Z36" i="39"/>
  <c r="Y36" i="39" s="1"/>
  <c r="M36" i="39"/>
  <c r="E36" i="39"/>
  <c r="Z35" i="39"/>
  <c r="Y35" i="39" s="1"/>
  <c r="M35" i="39"/>
  <c r="I35" i="39"/>
  <c r="E35" i="39"/>
  <c r="Z34" i="39"/>
  <c r="Y34" i="39"/>
  <c r="M34" i="39"/>
  <c r="I34" i="39"/>
  <c r="E34" i="39"/>
  <c r="Z33" i="39"/>
  <c r="Y33" i="39"/>
  <c r="Z32" i="39"/>
  <c r="Y32" i="39"/>
  <c r="M32" i="39"/>
  <c r="I32" i="39"/>
  <c r="E32" i="39"/>
  <c r="Z31" i="39"/>
  <c r="Y31" i="39" s="1"/>
  <c r="Z30" i="39"/>
  <c r="Y30" i="39" s="1"/>
  <c r="Z29" i="39"/>
  <c r="Y29" i="39" s="1"/>
  <c r="Z28" i="39"/>
  <c r="Z27" i="39"/>
  <c r="M27" i="39"/>
  <c r="I27" i="39"/>
  <c r="E27" i="39"/>
  <c r="Z26" i="39"/>
  <c r="Y26" i="39" s="1"/>
  <c r="Z25" i="39"/>
  <c r="Y25" i="39" s="1"/>
  <c r="Z24" i="39"/>
  <c r="Z23" i="39"/>
  <c r="R22" i="39"/>
  <c r="Q22" i="39"/>
  <c r="Z21" i="39"/>
  <c r="Z20" i="39"/>
  <c r="Y20" i="39" s="1"/>
  <c r="Z19" i="39"/>
  <c r="Y19" i="39" s="1"/>
  <c r="Z18" i="39"/>
  <c r="Q17" i="39"/>
  <c r="R17" i="39" s="1"/>
  <c r="Z16" i="39"/>
  <c r="Y16" i="39"/>
  <c r="Z15" i="39"/>
  <c r="Y15" i="39" s="1"/>
  <c r="Z14" i="39"/>
  <c r="Y14" i="39" s="1"/>
  <c r="R21" i="39" l="1"/>
  <c r="X21" i="39" s="1"/>
  <c r="K24" i="40"/>
  <c r="W21" i="40"/>
  <c r="Q26" i="40"/>
  <c r="AA28" i="40"/>
  <c r="W31" i="40"/>
  <c r="E33" i="40"/>
  <c r="G14" i="40" s="1"/>
  <c r="H14" i="40" s="1"/>
  <c r="Q31" i="40"/>
  <c r="R31" i="40" s="1"/>
  <c r="K39" i="40"/>
  <c r="K19" i="40"/>
  <c r="K14" i="40"/>
  <c r="K34" i="40"/>
  <c r="AA23" i="40"/>
  <c r="Q23" i="40"/>
  <c r="R26" i="40"/>
  <c r="M28" i="40"/>
  <c r="O24" i="40" s="1"/>
  <c r="R21" i="40"/>
  <c r="K29" i="40"/>
  <c r="Q21" i="40"/>
  <c r="Q21" i="39"/>
  <c r="W21" i="39"/>
  <c r="E38" i="39"/>
  <c r="R19" i="39"/>
  <c r="X19" i="39" s="1"/>
  <c r="E43" i="39"/>
  <c r="W41" i="39"/>
  <c r="R29" i="39"/>
  <c r="X29" i="39" s="1"/>
  <c r="R35" i="39"/>
  <c r="X35" i="39" s="1"/>
  <c r="Q32" i="39"/>
  <c r="R32" i="39" s="1"/>
  <c r="W30" i="39"/>
  <c r="I38" i="39"/>
  <c r="R20" i="39"/>
  <c r="X20" i="39" s="1"/>
  <c r="W27" i="39"/>
  <c r="R39" i="39"/>
  <c r="X39" i="39" s="1"/>
  <c r="Q36" i="39"/>
  <c r="R36" i="39" s="1"/>
  <c r="X36" i="39" s="1"/>
  <c r="W34" i="39"/>
  <c r="M43" i="39"/>
  <c r="M23" i="39"/>
  <c r="Q39" i="39"/>
  <c r="Q41" i="39"/>
  <c r="R41" i="39" s="1"/>
  <c r="X41" i="39" s="1"/>
  <c r="W15" i="39"/>
  <c r="R25" i="39"/>
  <c r="Q29" i="39"/>
  <c r="W25" i="39"/>
  <c r="W20" i="39"/>
  <c r="E23" i="39"/>
  <c r="W16" i="39"/>
  <c r="E18" i="39"/>
  <c r="I18" i="39"/>
  <c r="M18" i="39"/>
  <c r="R15" i="39"/>
  <c r="X15" i="39" s="1"/>
  <c r="Q27" i="39"/>
  <c r="R27" i="39" s="1"/>
  <c r="Q35" i="39"/>
  <c r="Q20" i="39"/>
  <c r="R24" i="39"/>
  <c r="Q30" i="39"/>
  <c r="Q16" i="39"/>
  <c r="W29" i="39"/>
  <c r="R30" i="39"/>
  <c r="R16" i="39"/>
  <c r="Q25" i="39"/>
  <c r="Q34" i="39"/>
  <c r="M38" i="39"/>
  <c r="Q15" i="39"/>
  <c r="Q24" i="39"/>
  <c r="I43" i="39"/>
  <c r="W19" i="39"/>
  <c r="I23" i="39"/>
  <c r="Q40" i="39"/>
  <c r="W35" i="39"/>
  <c r="W39" i="39"/>
  <c r="R40" i="39"/>
  <c r="Q14" i="39"/>
  <c r="Q19" i="39"/>
  <c r="R34" i="39"/>
  <c r="W40" i="39"/>
  <c r="W14" i="39"/>
  <c r="R14" i="39"/>
  <c r="W24" i="39"/>
  <c r="EY24" i="17"/>
  <c r="EZ24" i="17"/>
  <c r="G19" i="40" l="1"/>
  <c r="H19" i="40" s="1"/>
  <c r="O29" i="40"/>
  <c r="G34" i="40"/>
  <c r="H34" i="40" s="1"/>
  <c r="G24" i="40"/>
  <c r="H24" i="40" s="1"/>
  <c r="G39" i="40"/>
  <c r="H39" i="40" s="1"/>
  <c r="O14" i="40"/>
  <c r="O19" i="40"/>
  <c r="X21" i="40"/>
  <c r="Q28" i="40"/>
  <c r="O34" i="40"/>
  <c r="X26" i="40"/>
  <c r="E2" i="40" a="1"/>
  <c r="E2" i="40" s="1"/>
  <c r="D2" i="40" s="1"/>
  <c r="E3" i="40" a="1"/>
  <c r="E3" i="40" s="1"/>
  <c r="D3" i="40" s="1"/>
  <c r="X31" i="40"/>
  <c r="Q33" i="40"/>
  <c r="G29" i="40"/>
  <c r="H29" i="40" s="1"/>
  <c r="AA33" i="40"/>
  <c r="L29" i="40" s="1"/>
  <c r="O39" i="40"/>
  <c r="AA18" i="39"/>
  <c r="Q38" i="39"/>
  <c r="AA38" i="39"/>
  <c r="X25" i="39"/>
  <c r="Q18" i="39"/>
  <c r="X34" i="39"/>
  <c r="AA23" i="39"/>
  <c r="AA43" i="39"/>
  <c r="X16" i="39"/>
  <c r="X14" i="39"/>
  <c r="X30" i="39"/>
  <c r="Q43" i="39"/>
  <c r="X40" i="39"/>
  <c r="Q23" i="39"/>
  <c r="X24" i="39"/>
  <c r="X27" i="39"/>
  <c r="FA24" i="17"/>
  <c r="L19" i="40" l="1"/>
  <c r="S29" i="40"/>
  <c r="P29" i="40" s="1"/>
  <c r="L39" i="40"/>
  <c r="T24" i="40"/>
  <c r="T34" i="40"/>
  <c r="E5" i="40" a="1"/>
  <c r="E5" i="40" s="1"/>
  <c r="D5" i="40" s="1"/>
  <c r="E4" i="40" a="1"/>
  <c r="E4" i="40" s="1"/>
  <c r="D4" i="40" s="1"/>
  <c r="S14" i="40"/>
  <c r="P14" i="40" s="1"/>
  <c r="L24" i="40"/>
  <c r="T39" i="40"/>
  <c r="T29" i="40"/>
  <c r="S39" i="40"/>
  <c r="P39" i="40" s="1"/>
  <c r="T14" i="40"/>
  <c r="S34" i="40"/>
  <c r="P34" i="40" s="1"/>
  <c r="L34" i="40"/>
  <c r="S19" i="40"/>
  <c r="P19" i="40" s="1"/>
  <c r="L14" i="40"/>
  <c r="T19" i="40"/>
  <c r="S24" i="40"/>
  <c r="P24" i="40" s="1"/>
  <c r="EB12" i="17"/>
  <c r="M33" i="39" s="1"/>
  <c r="M31" i="38" l="1"/>
  <c r="M30" i="38"/>
  <c r="M29" i="38"/>
  <c r="M25" i="38"/>
  <c r="M24" i="38"/>
  <c r="M20" i="38"/>
  <c r="M19" i="38"/>
  <c r="M14" i="38"/>
  <c r="M15" i="38"/>
  <c r="I30" i="38"/>
  <c r="I29" i="38"/>
  <c r="I25" i="38"/>
  <c r="I24" i="38"/>
  <c r="I20" i="38"/>
  <c r="I19" i="38"/>
  <c r="I14" i="38"/>
  <c r="I15" i="38"/>
  <c r="E30" i="38"/>
  <c r="E29" i="38"/>
  <c r="E25" i="38"/>
  <c r="E24" i="38"/>
  <c r="E20" i="38"/>
  <c r="E14" i="38"/>
  <c r="E15" i="38"/>
  <c r="Z43" i="38"/>
  <c r="Y43" i="38" s="1"/>
  <c r="Z42" i="38"/>
  <c r="Y42" i="38"/>
  <c r="R42" i="38"/>
  <c r="Q42" i="38"/>
  <c r="Z41" i="38"/>
  <c r="Y41" i="38"/>
  <c r="M41" i="38"/>
  <c r="I41" i="38"/>
  <c r="E41" i="38"/>
  <c r="Z40" i="38"/>
  <c r="Y40" i="38" s="1"/>
  <c r="M40" i="38"/>
  <c r="I40" i="38"/>
  <c r="E40" i="38"/>
  <c r="Z39" i="38"/>
  <c r="Y39" i="38"/>
  <c r="M39" i="38"/>
  <c r="I39" i="38"/>
  <c r="E39" i="38"/>
  <c r="Z38" i="38"/>
  <c r="Y38" i="38"/>
  <c r="Z37" i="38"/>
  <c r="Y37" i="38" s="1"/>
  <c r="R37" i="38"/>
  <c r="Q37" i="38"/>
  <c r="Z36" i="38"/>
  <c r="Y36" i="38"/>
  <c r="M36" i="38"/>
  <c r="I36" i="38"/>
  <c r="E36" i="38"/>
  <c r="Z35" i="38"/>
  <c r="Y35" i="38"/>
  <c r="M35" i="38"/>
  <c r="I35" i="38"/>
  <c r="E35" i="38"/>
  <c r="Z34" i="38"/>
  <c r="Y34" i="38" s="1"/>
  <c r="M34" i="38"/>
  <c r="I34" i="38"/>
  <c r="E34" i="38"/>
  <c r="Z33" i="38"/>
  <c r="Y33" i="38" s="1"/>
  <c r="Z32" i="38"/>
  <c r="Y32" i="38"/>
  <c r="M32" i="38"/>
  <c r="I32" i="38"/>
  <c r="E32" i="38"/>
  <c r="Z31" i="38"/>
  <c r="Y31" i="38"/>
  <c r="Z30" i="38"/>
  <c r="Y30" i="38"/>
  <c r="Z29" i="38"/>
  <c r="Y29" i="38"/>
  <c r="Z28" i="38"/>
  <c r="Z27" i="38"/>
  <c r="M27" i="38"/>
  <c r="I27" i="38"/>
  <c r="E27" i="38"/>
  <c r="Z26" i="38"/>
  <c r="Y26" i="38"/>
  <c r="Z25" i="38"/>
  <c r="Y25" i="38" s="1"/>
  <c r="Z24" i="38"/>
  <c r="Z23" i="38"/>
  <c r="Q22" i="38"/>
  <c r="R22" i="38" s="1"/>
  <c r="Z21" i="38"/>
  <c r="Z20" i="38"/>
  <c r="Y20" i="38" s="1"/>
  <c r="Z19" i="38"/>
  <c r="Y19" i="38" s="1"/>
  <c r="Z18" i="38"/>
  <c r="Q17" i="38"/>
  <c r="R17" i="38" s="1"/>
  <c r="Z16" i="38"/>
  <c r="Y16" i="38" s="1"/>
  <c r="Z15" i="38"/>
  <c r="Y15" i="38" s="1"/>
  <c r="Z14" i="38"/>
  <c r="Y14" i="38" s="1"/>
  <c r="EA12" i="17"/>
  <c r="DZ12" i="17"/>
  <c r="DZ8" i="17"/>
  <c r="EB5" i="17"/>
  <c r="EA5" i="17"/>
  <c r="DZ5" i="17"/>
  <c r="EB13" i="17"/>
  <c r="M26" i="38" s="1"/>
  <c r="EA13" i="17"/>
  <c r="I26" i="38" s="1"/>
  <c r="DZ13" i="17"/>
  <c r="I16" i="38" l="1"/>
  <c r="I18" i="38" s="1"/>
  <c r="I28" i="39"/>
  <c r="E31" i="38"/>
  <c r="E33" i="38" s="1"/>
  <c r="I31" i="38"/>
  <c r="I33" i="38" s="1"/>
  <c r="I33" i="39"/>
  <c r="E16" i="38"/>
  <c r="M16" i="38"/>
  <c r="M18" i="38" s="1"/>
  <c r="M28" i="39"/>
  <c r="E19" i="38"/>
  <c r="W19" i="38" s="1"/>
  <c r="I43" i="38"/>
  <c r="R35" i="38"/>
  <c r="X35" i="38" s="1"/>
  <c r="R39" i="38"/>
  <c r="X39" i="38" s="1"/>
  <c r="I38" i="38"/>
  <c r="M38" i="38"/>
  <c r="E26" i="38"/>
  <c r="R26" i="38" s="1"/>
  <c r="Q32" i="38"/>
  <c r="R32" i="38" s="1"/>
  <c r="R40" i="38"/>
  <c r="E38" i="38"/>
  <c r="Q36" i="38"/>
  <c r="R36" i="38" s="1"/>
  <c r="W40" i="38"/>
  <c r="W27" i="38"/>
  <c r="W41" i="38"/>
  <c r="M43" i="38"/>
  <c r="M28" i="38"/>
  <c r="R29" i="38"/>
  <c r="W25" i="38"/>
  <c r="I28" i="38"/>
  <c r="R24" i="38"/>
  <c r="X24" i="38" s="1"/>
  <c r="W15" i="38"/>
  <c r="R20" i="38"/>
  <c r="W14" i="38"/>
  <c r="R15" i="38"/>
  <c r="M33" i="38"/>
  <c r="R30" i="38"/>
  <c r="Q24" i="38"/>
  <c r="Q21" i="38"/>
  <c r="Q20" i="38"/>
  <c r="M23" i="38"/>
  <c r="W20" i="38"/>
  <c r="Q15" i="38"/>
  <c r="Q14" i="38"/>
  <c r="R14" i="38"/>
  <c r="R21" i="38"/>
  <c r="Q27" i="38"/>
  <c r="R27" i="38" s="1"/>
  <c r="Q35" i="38"/>
  <c r="E43" i="38"/>
  <c r="W34" i="38"/>
  <c r="W21" i="38"/>
  <c r="I23" i="38"/>
  <c r="Q30" i="38"/>
  <c r="Q40" i="38"/>
  <c r="W29" i="38"/>
  <c r="W35" i="38"/>
  <c r="W39" i="38"/>
  <c r="Q25" i="38"/>
  <c r="Q34" i="38"/>
  <c r="Q41" i="38"/>
  <c r="R41" i="38" s="1"/>
  <c r="W30" i="38"/>
  <c r="R34" i="38"/>
  <c r="W24" i="38"/>
  <c r="Q29" i="38"/>
  <c r="Q39" i="38"/>
  <c r="R25" i="38"/>
  <c r="K29" i="39" l="1"/>
  <c r="Q16" i="38"/>
  <c r="R19" i="38"/>
  <c r="X19" i="38" s="1"/>
  <c r="W31" i="38"/>
  <c r="Q31" i="38"/>
  <c r="R31" i="38" s="1"/>
  <c r="X31" i="38" s="1"/>
  <c r="R26" i="39"/>
  <c r="X26" i="39" s="1"/>
  <c r="W26" i="39"/>
  <c r="E28" i="39"/>
  <c r="Q26" i="39"/>
  <c r="W16" i="38"/>
  <c r="R16" i="38"/>
  <c r="X16" i="38" s="1"/>
  <c r="E33" i="39"/>
  <c r="W31" i="39"/>
  <c r="Q31" i="39"/>
  <c r="R31" i="39" s="1"/>
  <c r="X31" i="39" s="1"/>
  <c r="O19" i="39"/>
  <c r="O14" i="39"/>
  <c r="O39" i="39"/>
  <c r="O24" i="39"/>
  <c r="O34" i="39"/>
  <c r="O29" i="39"/>
  <c r="K19" i="39"/>
  <c r="K24" i="39"/>
  <c r="K14" i="39"/>
  <c r="K34" i="39"/>
  <c r="K39" i="39"/>
  <c r="E18" i="38"/>
  <c r="Q18" i="38" s="1"/>
  <c r="E23" i="38"/>
  <c r="AA23" i="38" s="1"/>
  <c r="Q19" i="38"/>
  <c r="X36" i="38"/>
  <c r="AA38" i="38"/>
  <c r="W26" i="38"/>
  <c r="Q26" i="38"/>
  <c r="E28" i="38"/>
  <c r="AA28" i="38" s="1"/>
  <c r="X26" i="38"/>
  <c r="X20" i="38"/>
  <c r="X29" i="38"/>
  <c r="Q38" i="38"/>
  <c r="X40" i="38"/>
  <c r="O24" i="38"/>
  <c r="X30" i="38"/>
  <c r="X15" i="38"/>
  <c r="O29" i="38"/>
  <c r="K24" i="38"/>
  <c r="O39" i="38"/>
  <c r="O14" i="38"/>
  <c r="O19" i="38"/>
  <c r="O34" i="38"/>
  <c r="K19" i="38"/>
  <c r="X14" i="38"/>
  <c r="K29" i="38"/>
  <c r="Q33" i="38"/>
  <c r="AA33" i="38"/>
  <c r="X34" i="38"/>
  <c r="X21" i="38"/>
  <c r="X41" i="38"/>
  <c r="X25" i="38"/>
  <c r="K14" i="38"/>
  <c r="K39" i="38"/>
  <c r="AA43" i="38"/>
  <c r="Q43" i="38"/>
  <c r="X27" i="38"/>
  <c r="K34" i="38"/>
  <c r="C43" i="3"/>
  <c r="B43" i="3"/>
  <c r="B34" i="3"/>
  <c r="B25" i="3"/>
  <c r="B22" i="3"/>
  <c r="B19" i="3"/>
  <c r="B16" i="3"/>
  <c r="B15" i="3"/>
  <c r="B13" i="3"/>
  <c r="E3" i="38" l="1" a="1"/>
  <c r="E3" i="38" s="1"/>
  <c r="D3" i="38" s="1"/>
  <c r="AA18" i="38"/>
  <c r="L29" i="38" s="1"/>
  <c r="Q23" i="38"/>
  <c r="AA33" i="39"/>
  <c r="Q33" i="39"/>
  <c r="G29" i="39"/>
  <c r="H29" i="39" s="1"/>
  <c r="G34" i="39"/>
  <c r="H34" i="39" s="1"/>
  <c r="G19" i="39"/>
  <c r="H19" i="39" s="1"/>
  <c r="G24" i="39"/>
  <c r="H24" i="39" s="1"/>
  <c r="Q28" i="39"/>
  <c r="G14" i="39"/>
  <c r="H14" i="39" s="1"/>
  <c r="G39" i="39"/>
  <c r="H39" i="39" s="1"/>
  <c r="AA28" i="39"/>
  <c r="E2" i="39" a="1"/>
  <c r="E2" i="39" s="1"/>
  <c r="D2" i="39" s="1"/>
  <c r="E3" i="39" a="1"/>
  <c r="E3" i="39" s="1"/>
  <c r="D3" i="39" s="1"/>
  <c r="E4" i="39" a="1"/>
  <c r="E4" i="39" s="1"/>
  <c r="D4" i="39" s="1"/>
  <c r="E5" i="39" a="1"/>
  <c r="E5" i="39" s="1"/>
  <c r="D5" i="39" s="1"/>
  <c r="G29" i="38"/>
  <c r="H29" i="38" s="1"/>
  <c r="G24" i="38"/>
  <c r="H24" i="38" s="1"/>
  <c r="G34" i="38"/>
  <c r="H34" i="38" s="1"/>
  <c r="G14" i="38"/>
  <c r="H14" i="38" s="1"/>
  <c r="E2" i="38" a="1"/>
  <c r="E2" i="38" s="1"/>
  <c r="D2" i="38" s="1"/>
  <c r="Q28" i="38"/>
  <c r="G19" i="38"/>
  <c r="H19" i="38" s="1"/>
  <c r="G39" i="38"/>
  <c r="H39" i="38" s="1"/>
  <c r="E5" i="38" a="1"/>
  <c r="E5" i="38" s="1"/>
  <c r="D5" i="38" s="1"/>
  <c r="E4" i="38" a="1"/>
  <c r="E4" i="38" s="1"/>
  <c r="D4" i="38" s="1"/>
  <c r="L39" i="38" l="1"/>
  <c r="L19" i="38"/>
  <c r="L14" i="38"/>
  <c r="S39" i="38"/>
  <c r="P39" i="38" s="1"/>
  <c r="L24" i="38"/>
  <c r="L34" i="38"/>
  <c r="T34" i="39"/>
  <c r="T29" i="39"/>
  <c r="S34" i="39"/>
  <c r="P34" i="39" s="1"/>
  <c r="T14" i="39"/>
  <c r="S24" i="39"/>
  <c r="P24" i="39" s="1"/>
  <c r="T24" i="39"/>
  <c r="T39" i="39"/>
  <c r="S19" i="39"/>
  <c r="P19" i="39" s="1"/>
  <c r="S39" i="39"/>
  <c r="P39" i="39" s="1"/>
  <c r="S14" i="39"/>
  <c r="P14" i="39" s="1"/>
  <c r="T19" i="39"/>
  <c r="L14" i="39"/>
  <c r="L39" i="39"/>
  <c r="L34" i="39"/>
  <c r="L19" i="39"/>
  <c r="L24" i="39"/>
  <c r="S29" i="39"/>
  <c r="P29" i="39" s="1"/>
  <c r="L29" i="39"/>
  <c r="T39" i="38"/>
  <c r="S24" i="38"/>
  <c r="P24" i="38" s="1"/>
  <c r="T19" i="38"/>
  <c r="S19" i="38"/>
  <c r="P19" i="38" s="1"/>
  <c r="T24" i="38"/>
  <c r="S29" i="38"/>
  <c r="P29" i="38" s="1"/>
  <c r="S34" i="38"/>
  <c r="P34" i="38" s="1"/>
  <c r="S14" i="38"/>
  <c r="P14" i="38" s="1"/>
  <c r="T29" i="38"/>
  <c r="T14" i="38"/>
  <c r="T34" i="38"/>
  <c r="F34" i="14"/>
  <c r="F60" i="14"/>
  <c r="F46" i="14"/>
  <c r="F36" i="14"/>
  <c r="F49" i="14"/>
  <c r="F42" i="14"/>
  <c r="F59" i="14"/>
  <c r="F58" i="14"/>
  <c r="F57" i="14"/>
  <c r="F21" i="14"/>
  <c r="F35" i="14"/>
  <c r="F55" i="14"/>
  <c r="F25" i="14"/>
  <c r="F54" i="14"/>
  <c r="F16" i="14"/>
  <c r="F53" i="14"/>
  <c r="F50" i="14"/>
  <c r="F37" i="14"/>
  <c r="F38" i="14"/>
  <c r="F29" i="14"/>
  <c r="F33" i="14"/>
  <c r="F32" i="14"/>
  <c r="F28" i="14"/>
  <c r="F27" i="14"/>
  <c r="F30" i="14"/>
  <c r="F20" i="14"/>
  <c r="F18" i="14"/>
  <c r="F23" i="14"/>
  <c r="F14" i="14"/>
  <c r="F17" i="14"/>
  <c r="F24" i="14"/>
  <c r="F15" i="14"/>
  <c r="F13" i="14"/>
  <c r="G34" i="14"/>
  <c r="G60" i="14"/>
  <c r="G46" i="14"/>
  <c r="G36" i="14"/>
  <c r="G49" i="14"/>
  <c r="G42" i="14"/>
  <c r="G59" i="14"/>
  <c r="G58" i="14"/>
  <c r="G57" i="14"/>
  <c r="G21" i="14"/>
  <c r="G35" i="14"/>
  <c r="G55" i="14"/>
  <c r="G25" i="14"/>
  <c r="G54" i="14"/>
  <c r="G16" i="14"/>
  <c r="G53" i="14"/>
  <c r="G50" i="14"/>
  <c r="G37" i="14"/>
  <c r="G38" i="14"/>
  <c r="G29" i="14"/>
  <c r="G33" i="14"/>
  <c r="G32" i="14"/>
  <c r="G28" i="14"/>
  <c r="G27" i="14"/>
  <c r="G30" i="14"/>
  <c r="G20" i="14"/>
  <c r="G18" i="14"/>
  <c r="G23" i="14"/>
  <c r="G14" i="14"/>
  <c r="G17" i="14"/>
  <c r="G24" i="14"/>
  <c r="G15" i="14"/>
  <c r="G13" i="14"/>
  <c r="H34" i="14"/>
  <c r="H60" i="14"/>
  <c r="H46" i="14"/>
  <c r="H36" i="14"/>
  <c r="H49" i="14"/>
  <c r="H42" i="14"/>
  <c r="H59" i="14"/>
  <c r="H55" i="14"/>
  <c r="H56" i="14"/>
  <c r="H25" i="14"/>
  <c r="H54" i="14"/>
  <c r="H16" i="14"/>
  <c r="H53" i="14"/>
  <c r="H50" i="14"/>
  <c r="H37" i="14"/>
  <c r="H38" i="14"/>
  <c r="H29" i="14"/>
  <c r="H33" i="14"/>
  <c r="H28" i="14"/>
  <c r="H30" i="14"/>
  <c r="H18" i="14"/>
  <c r="H23" i="14"/>
  <c r="H14" i="14"/>
  <c r="H17" i="14"/>
  <c r="H24" i="14"/>
  <c r="H15" i="14"/>
  <c r="H13" i="14"/>
  <c r="I34" i="14"/>
  <c r="I60" i="14"/>
  <c r="I46" i="14"/>
  <c r="I36" i="14"/>
  <c r="I49" i="14"/>
  <c r="I42" i="14"/>
  <c r="I59" i="14"/>
  <c r="I55" i="14"/>
  <c r="I56" i="14"/>
  <c r="I25" i="14"/>
  <c r="I54" i="14"/>
  <c r="I16" i="14"/>
  <c r="I53" i="14"/>
  <c r="I50" i="14"/>
  <c r="I37" i="14"/>
  <c r="I38" i="14"/>
  <c r="I29" i="14"/>
  <c r="I33" i="14"/>
  <c r="I28" i="14"/>
  <c r="I30" i="14"/>
  <c r="I18" i="14"/>
  <c r="I23" i="14"/>
  <c r="I14" i="14"/>
  <c r="I17" i="14"/>
  <c r="I24" i="14"/>
  <c r="I15" i="14"/>
  <c r="I13" i="14"/>
  <c r="J34" i="14"/>
  <c r="I22" i="11" s="1"/>
  <c r="J60" i="14"/>
  <c r="I35" i="11" s="1"/>
  <c r="J59" i="14"/>
  <c r="I32" i="11" s="1"/>
  <c r="J58" i="14"/>
  <c r="I34" i="11" s="1"/>
  <c r="J57" i="14"/>
  <c r="I31" i="11" s="1"/>
  <c r="J21" i="14"/>
  <c r="I9" i="11" s="1"/>
  <c r="J55" i="14"/>
  <c r="J56" i="14"/>
  <c r="I29" i="11" s="1"/>
  <c r="J25" i="14"/>
  <c r="I13" i="11" s="1"/>
  <c r="J54" i="14"/>
  <c r="I28" i="11" s="1"/>
  <c r="J53" i="14"/>
  <c r="I33" i="11" s="1"/>
  <c r="J50" i="14"/>
  <c r="I30" i="11" s="1"/>
  <c r="J37" i="14"/>
  <c r="I24" i="11" s="1"/>
  <c r="J38" i="14"/>
  <c r="I25" i="11" s="1"/>
  <c r="J29" i="14"/>
  <c r="I16" i="11" s="1"/>
  <c r="J33" i="14"/>
  <c r="I20" i="11" s="1"/>
  <c r="J28" i="14"/>
  <c r="I15" i="11" s="1"/>
  <c r="J30" i="14"/>
  <c r="I18" i="11" s="1"/>
  <c r="J20" i="14"/>
  <c r="I11" i="11" s="1"/>
  <c r="J18" i="14"/>
  <c r="I7" i="11" s="1"/>
  <c r="J23" i="14"/>
  <c r="J14" i="14"/>
  <c r="J17" i="14"/>
  <c r="J24" i="14"/>
  <c r="J15" i="14"/>
  <c r="J13" i="14"/>
  <c r="K28" i="14"/>
  <c r="G15" i="11" s="1"/>
  <c r="K30" i="14"/>
  <c r="G18" i="11" s="1"/>
  <c r="K20" i="14"/>
  <c r="G11" i="11" s="1"/>
  <c r="K18" i="14"/>
  <c r="G7" i="11" s="1"/>
  <c r="K23" i="14"/>
  <c r="K14" i="14"/>
  <c r="K17" i="14"/>
  <c r="K24" i="14"/>
  <c r="K15" i="14"/>
  <c r="K13" i="14"/>
  <c r="K37" i="14"/>
  <c r="G24" i="11" s="1"/>
  <c r="K38" i="14"/>
  <c r="G25" i="11" s="1"/>
  <c r="K29" i="14"/>
  <c r="G16" i="11" s="1"/>
  <c r="K33" i="14"/>
  <c r="G20" i="11" s="1"/>
  <c r="K55" i="14"/>
  <c r="K56" i="14"/>
  <c r="G29" i="11" s="1"/>
  <c r="K25" i="14"/>
  <c r="G13" i="11" s="1"/>
  <c r="K54" i="14"/>
  <c r="G28" i="11" s="1"/>
  <c r="K53" i="14"/>
  <c r="G33" i="11" s="1"/>
  <c r="K50" i="14"/>
  <c r="G30" i="11" s="1"/>
  <c r="K57" i="14"/>
  <c r="G31" i="11" s="1"/>
  <c r="K21" i="14"/>
  <c r="G9" i="11" s="1"/>
  <c r="K59" i="14"/>
  <c r="G32" i="11" s="1"/>
  <c r="K58" i="14"/>
  <c r="G34" i="11" s="1"/>
  <c r="K60" i="14"/>
  <c r="G35" i="11" s="1"/>
  <c r="J35" i="11" s="1"/>
  <c r="K34" i="14"/>
  <c r="G22" i="11" s="1"/>
  <c r="J22" i="11" s="1"/>
  <c r="K22" i="11"/>
  <c r="M36" i="11"/>
  <c r="A22" i="11"/>
  <c r="A8" i="11"/>
  <c r="K8" i="11"/>
  <c r="M35" i="11"/>
  <c r="A21" i="11"/>
  <c r="A23" i="11"/>
  <c r="A26" i="11"/>
  <c r="K26" i="11"/>
  <c r="M34" i="11"/>
  <c r="K23" i="11"/>
  <c r="M33" i="11"/>
  <c r="K21" i="11"/>
  <c r="M32" i="11"/>
  <c r="K35" i="11"/>
  <c r="M31" i="11"/>
  <c r="EZ51" i="17"/>
  <c r="EY51" i="17"/>
  <c r="E34" i="14"/>
  <c r="D34" i="14"/>
  <c r="E60" i="14"/>
  <c r="D60" i="14"/>
  <c r="M34" i="14" l="1"/>
  <c r="FA51" i="17"/>
  <c r="H22" i="11"/>
  <c r="H35" i="11"/>
  <c r="M60" i="14"/>
  <c r="DW1" i="17" l="1"/>
  <c r="EV47" i="17"/>
  <c r="EV45" i="17"/>
  <c r="EV46" i="17"/>
  <c r="EV44" i="17"/>
  <c r="EV41" i="17"/>
  <c r="EV28" i="17"/>
  <c r="EV23" i="17"/>
  <c r="EV38" i="17"/>
  <c r="EV37" i="17"/>
  <c r="EV9" i="17"/>
  <c r="EV20" i="17"/>
  <c r="B5" i="3" l="1"/>
  <c r="F13" i="3"/>
  <c r="M29" i="37"/>
  <c r="M26" i="37"/>
  <c r="M25" i="37"/>
  <c r="M24" i="37"/>
  <c r="M20" i="37"/>
  <c r="M19" i="37"/>
  <c r="M16" i="37"/>
  <c r="M14" i="37"/>
  <c r="M15" i="37"/>
  <c r="I29" i="37"/>
  <c r="I26" i="37"/>
  <c r="I25" i="37"/>
  <c r="I24" i="37"/>
  <c r="I20" i="37"/>
  <c r="I19" i="37"/>
  <c r="I16" i="37"/>
  <c r="I14" i="37"/>
  <c r="I15" i="37"/>
  <c r="E29" i="37"/>
  <c r="E26" i="37"/>
  <c r="E25" i="37"/>
  <c r="E24" i="37"/>
  <c r="E20" i="37"/>
  <c r="E19" i="37"/>
  <c r="E16" i="37"/>
  <c r="E15" i="37"/>
  <c r="E14" i="37"/>
  <c r="Z43" i="37"/>
  <c r="Y43" i="37" s="1"/>
  <c r="Z42" i="37"/>
  <c r="Y42" i="37" s="1"/>
  <c r="R42" i="37"/>
  <c r="Q42" i="37"/>
  <c r="Z41" i="37"/>
  <c r="Y41" i="37" s="1"/>
  <c r="M41" i="37"/>
  <c r="I41" i="37"/>
  <c r="E41" i="37"/>
  <c r="Z40" i="37"/>
  <c r="Y40" i="37" s="1"/>
  <c r="M40" i="37"/>
  <c r="I40" i="37"/>
  <c r="E40" i="37"/>
  <c r="Z39" i="37"/>
  <c r="Y39" i="37" s="1"/>
  <c r="M39" i="37"/>
  <c r="I39" i="37"/>
  <c r="E39" i="37"/>
  <c r="Z38" i="37"/>
  <c r="Y38" i="37" s="1"/>
  <c r="Z37" i="37"/>
  <c r="Y37" i="37"/>
  <c r="R37" i="37"/>
  <c r="Q37" i="37"/>
  <c r="Z36" i="37"/>
  <c r="Y36" i="37" s="1"/>
  <c r="M36" i="37"/>
  <c r="I36" i="37"/>
  <c r="E36" i="37"/>
  <c r="Z35" i="37"/>
  <c r="Y35" i="37"/>
  <c r="M35" i="37"/>
  <c r="I35" i="37"/>
  <c r="E35" i="37"/>
  <c r="Z34" i="37"/>
  <c r="Y34" i="37"/>
  <c r="M34" i="37"/>
  <c r="I34" i="37"/>
  <c r="E34" i="37"/>
  <c r="Z33" i="37"/>
  <c r="Y33" i="37" s="1"/>
  <c r="Z32" i="37"/>
  <c r="Y32" i="37"/>
  <c r="M32" i="37"/>
  <c r="I32" i="37"/>
  <c r="E32" i="37"/>
  <c r="Z31" i="37"/>
  <c r="Y31" i="37"/>
  <c r="Z30" i="37"/>
  <c r="Y30" i="37" s="1"/>
  <c r="Z29" i="37"/>
  <c r="Y29" i="37" s="1"/>
  <c r="Z28" i="37"/>
  <c r="Z27" i="37"/>
  <c r="M27" i="37"/>
  <c r="I27" i="37"/>
  <c r="E27" i="37"/>
  <c r="Z26" i="37"/>
  <c r="Y26" i="37" s="1"/>
  <c r="Z25" i="37"/>
  <c r="Y25" i="37"/>
  <c r="Z24" i="37"/>
  <c r="Z23" i="37"/>
  <c r="Q22" i="37"/>
  <c r="R22" i="37" s="1"/>
  <c r="Z21" i="37"/>
  <c r="Y21" i="37" s="1"/>
  <c r="Z20" i="37"/>
  <c r="Y20" i="37" s="1"/>
  <c r="Z19" i="37"/>
  <c r="Y19" i="37" s="1"/>
  <c r="Z18" i="37"/>
  <c r="Q17" i="37"/>
  <c r="R17" i="37" s="1"/>
  <c r="Z16" i="37"/>
  <c r="Y16" i="37" s="1"/>
  <c r="Z15" i="37"/>
  <c r="Y15" i="37"/>
  <c r="Z14" i="37"/>
  <c r="Y14" i="37"/>
  <c r="Q39" i="37" l="1"/>
  <c r="W41" i="37"/>
  <c r="M43" i="37"/>
  <c r="I43" i="37"/>
  <c r="M38" i="37"/>
  <c r="Q36" i="37"/>
  <c r="R36" i="37" s="1"/>
  <c r="X36" i="37" s="1"/>
  <c r="R35" i="37"/>
  <c r="X35" i="37" s="1"/>
  <c r="E38" i="37"/>
  <c r="W40" i="37"/>
  <c r="W27" i="37"/>
  <c r="Q32" i="37"/>
  <c r="R32" i="37" s="1"/>
  <c r="I38" i="37"/>
  <c r="Q29" i="37"/>
  <c r="W25" i="37"/>
  <c r="W24" i="37"/>
  <c r="I28" i="37"/>
  <c r="R16" i="37"/>
  <c r="W15" i="37"/>
  <c r="R24" i="37"/>
  <c r="Q24" i="37"/>
  <c r="W16" i="37"/>
  <c r="R15" i="37"/>
  <c r="X15" i="37" s="1"/>
  <c r="R40" i="37"/>
  <c r="X40" i="37" s="1"/>
  <c r="R39" i="37"/>
  <c r="X39" i="37" s="1"/>
  <c r="W35" i="37"/>
  <c r="Q35" i="37"/>
  <c r="R29" i="37"/>
  <c r="X29" i="37" s="1"/>
  <c r="M28" i="37"/>
  <c r="Q26" i="37"/>
  <c r="R26" i="37"/>
  <c r="X26" i="37" s="1"/>
  <c r="W26" i="37"/>
  <c r="W20" i="37"/>
  <c r="R20" i="37"/>
  <c r="X20" i="37" s="1"/>
  <c r="E18" i="37"/>
  <c r="I18" i="37"/>
  <c r="M18" i="37"/>
  <c r="R19" i="37"/>
  <c r="Q15" i="37"/>
  <c r="Q20" i="37"/>
  <c r="Q27" i="37"/>
  <c r="R27" i="37" s="1"/>
  <c r="E43" i="37"/>
  <c r="Q16" i="37"/>
  <c r="Q40" i="37"/>
  <c r="W34" i="37"/>
  <c r="W29" i="37"/>
  <c r="W39" i="37"/>
  <c r="Q14" i="37"/>
  <c r="Q19" i="37"/>
  <c r="Q25" i="37"/>
  <c r="Q34" i="37"/>
  <c r="Q41" i="37"/>
  <c r="R41" i="37" s="1"/>
  <c r="W19" i="37"/>
  <c r="R14" i="37"/>
  <c r="R25" i="37"/>
  <c r="R34" i="37"/>
  <c r="W14" i="37"/>
  <c r="E28" i="37"/>
  <c r="DY18" i="17"/>
  <c r="M31" i="37" s="1"/>
  <c r="DX18" i="17"/>
  <c r="I31" i="37" s="1"/>
  <c r="DW18" i="17"/>
  <c r="DY12" i="17"/>
  <c r="M21" i="37" s="1"/>
  <c r="M23" i="37" s="1"/>
  <c r="DX12" i="17"/>
  <c r="I21" i="37" s="1"/>
  <c r="I23" i="37" s="1"/>
  <c r="DW12" i="17"/>
  <c r="DY14" i="17"/>
  <c r="M30" i="37" s="1"/>
  <c r="DX14" i="17"/>
  <c r="I30" i="37" s="1"/>
  <c r="DW14" i="17"/>
  <c r="I33" i="37" l="1"/>
  <c r="K34" i="37" s="1"/>
  <c r="M33" i="37"/>
  <c r="O19" i="37" s="1"/>
  <c r="E31" i="37"/>
  <c r="W31" i="37" s="1"/>
  <c r="AA38" i="37"/>
  <c r="E30" i="37"/>
  <c r="E21" i="37"/>
  <c r="Q38" i="37"/>
  <c r="X16" i="37"/>
  <c r="AA18" i="37"/>
  <c r="X24" i="37"/>
  <c r="Q18" i="37"/>
  <c r="AA28" i="37"/>
  <c r="Q28" i="37"/>
  <c r="X19" i="37"/>
  <c r="X41" i="37"/>
  <c r="X34" i="37"/>
  <c r="AA43" i="37"/>
  <c r="Q43" i="37"/>
  <c r="X25" i="37"/>
  <c r="X27" i="37"/>
  <c r="X14" i="37"/>
  <c r="K14" i="37" l="1"/>
  <c r="K29" i="37"/>
  <c r="K19" i="37"/>
  <c r="K24" i="37"/>
  <c r="K39" i="37"/>
  <c r="Q31" i="37"/>
  <c r="R31" i="37" s="1"/>
  <c r="X31" i="37" s="1"/>
  <c r="O29" i="37"/>
  <c r="O39" i="37"/>
  <c r="O34" i="37"/>
  <c r="O14" i="37"/>
  <c r="O24" i="37"/>
  <c r="W21" i="37"/>
  <c r="E23" i="37"/>
  <c r="R21" i="37"/>
  <c r="Q21" i="37"/>
  <c r="Q30" i="37"/>
  <c r="W30" i="37"/>
  <c r="R30" i="37"/>
  <c r="E33" i="37"/>
  <c r="OO27" i="16"/>
  <c r="OO34" i="16"/>
  <c r="OO16" i="16"/>
  <c r="ON16" i="16"/>
  <c r="OM16" i="16"/>
  <c r="Q33" i="37" l="1"/>
  <c r="G29" i="37"/>
  <c r="H29" i="37" s="1"/>
  <c r="AA33" i="37"/>
  <c r="X30" i="37"/>
  <c r="X21" i="37"/>
  <c r="G14" i="37"/>
  <c r="H14" i="37" s="1"/>
  <c r="G19" i="37"/>
  <c r="H19" i="37" s="1"/>
  <c r="G34" i="37"/>
  <c r="H34" i="37" s="1"/>
  <c r="AA23" i="37"/>
  <c r="G39" i="37"/>
  <c r="H39" i="37" s="1"/>
  <c r="G24" i="37"/>
  <c r="H24" i="37" s="1"/>
  <c r="Q23" i="37"/>
  <c r="E3" i="37" a="1"/>
  <c r="E3" i="37" s="1"/>
  <c r="D3" i="37" s="1"/>
  <c r="E2" i="37" a="1"/>
  <c r="E2" i="37" s="1"/>
  <c r="D2" i="37" s="1"/>
  <c r="H34" i="3"/>
  <c r="E4" i="37" l="1" a="1"/>
  <c r="E4" i="37" s="1"/>
  <c r="D4" i="37" s="1"/>
  <c r="E5" i="37" a="1"/>
  <c r="E5" i="37" s="1"/>
  <c r="D5" i="37" s="1"/>
  <c r="L39" i="37"/>
  <c r="L24" i="37"/>
  <c r="L19" i="37"/>
  <c r="L34" i="37"/>
  <c r="L14" i="37"/>
  <c r="L29" i="37"/>
  <c r="T24" i="37"/>
  <c r="T14" i="37"/>
  <c r="S24" i="37"/>
  <c r="P24" i="37" s="1"/>
  <c r="S14" i="37"/>
  <c r="P14" i="37" s="1"/>
  <c r="T29" i="37"/>
  <c r="S34" i="37"/>
  <c r="P34" i="37" s="1"/>
  <c r="S19" i="37"/>
  <c r="P19" i="37" s="1"/>
  <c r="T39" i="37"/>
  <c r="T34" i="37"/>
  <c r="S39" i="37"/>
  <c r="P39" i="37" s="1"/>
  <c r="T19" i="37"/>
  <c r="S29" i="37"/>
  <c r="P29" i="37" s="1"/>
  <c r="M40" i="36"/>
  <c r="M39" i="36"/>
  <c r="M36" i="36"/>
  <c r="M34" i="36"/>
  <c r="M30" i="36"/>
  <c r="M29" i="36"/>
  <c r="M25" i="36"/>
  <c r="M20" i="36"/>
  <c r="M19" i="36"/>
  <c r="M14" i="36"/>
  <c r="I40" i="36"/>
  <c r="I39" i="36"/>
  <c r="I36" i="36"/>
  <c r="I34" i="36"/>
  <c r="I30" i="36"/>
  <c r="I29" i="36"/>
  <c r="I25" i="36"/>
  <c r="I20" i="36"/>
  <c r="I19" i="36"/>
  <c r="I14" i="36"/>
  <c r="E40" i="36"/>
  <c r="E39" i="36"/>
  <c r="E36" i="36"/>
  <c r="E34" i="36"/>
  <c r="E30" i="36"/>
  <c r="E25" i="36"/>
  <c r="E20" i="36"/>
  <c r="E19" i="36"/>
  <c r="E14" i="36"/>
  <c r="Z43" i="36"/>
  <c r="Y43" i="36"/>
  <c r="Z42" i="36"/>
  <c r="Y42" i="36" s="1"/>
  <c r="R42" i="36"/>
  <c r="Q42" i="36"/>
  <c r="Z41" i="36"/>
  <c r="Y41" i="36" s="1"/>
  <c r="Z40" i="36"/>
  <c r="Y40" i="36" s="1"/>
  <c r="Z39" i="36"/>
  <c r="Y39" i="36" s="1"/>
  <c r="Z38" i="36"/>
  <c r="Y38" i="36"/>
  <c r="Z37" i="36"/>
  <c r="Y37" i="36"/>
  <c r="Q37" i="36"/>
  <c r="R37" i="36" s="1"/>
  <c r="Z36" i="36"/>
  <c r="Y36" i="36" s="1"/>
  <c r="Z35" i="36"/>
  <c r="Y35" i="36" s="1"/>
  <c r="Z34" i="36"/>
  <c r="Y34" i="36" s="1"/>
  <c r="Z33" i="36"/>
  <c r="Y33" i="36"/>
  <c r="Z32" i="36"/>
  <c r="Y32" i="36" s="1"/>
  <c r="M32" i="36"/>
  <c r="I32" i="36"/>
  <c r="E32" i="36"/>
  <c r="Z31" i="36"/>
  <c r="Y31" i="36" s="1"/>
  <c r="Z30" i="36"/>
  <c r="Y30" i="36"/>
  <c r="Z29" i="36"/>
  <c r="Y29" i="36"/>
  <c r="Z28" i="36"/>
  <c r="Z27" i="36"/>
  <c r="M27" i="36"/>
  <c r="I27" i="36"/>
  <c r="E27" i="36"/>
  <c r="Z26" i="36"/>
  <c r="Y26" i="36" s="1"/>
  <c r="Z25" i="36"/>
  <c r="Y25" i="36" s="1"/>
  <c r="Z24" i="36"/>
  <c r="Z23" i="36"/>
  <c r="Q22" i="36"/>
  <c r="R22" i="36" s="1"/>
  <c r="Z21" i="36"/>
  <c r="Y21" i="36" s="1"/>
  <c r="Z20" i="36"/>
  <c r="Y20" i="36" s="1"/>
  <c r="Z19" i="36"/>
  <c r="Y19" i="36"/>
  <c r="Z18" i="36"/>
  <c r="Q17" i="36"/>
  <c r="R17" i="36" s="1"/>
  <c r="Z16" i="36"/>
  <c r="Y16" i="36" s="1"/>
  <c r="Z15" i="36"/>
  <c r="Y15" i="36" s="1"/>
  <c r="Z14" i="36"/>
  <c r="Y14" i="36" s="1"/>
  <c r="DV40" i="17"/>
  <c r="M41" i="36" s="1"/>
  <c r="DU40" i="17"/>
  <c r="I41" i="36" s="1"/>
  <c r="DT40" i="17"/>
  <c r="E41" i="36" s="1"/>
  <c r="DV7" i="17"/>
  <c r="M35" i="36" s="1"/>
  <c r="DU7" i="17"/>
  <c r="I35" i="36" s="1"/>
  <c r="DT7" i="17"/>
  <c r="DV5" i="17"/>
  <c r="M31" i="36" s="1"/>
  <c r="DU5" i="17"/>
  <c r="I31" i="36" s="1"/>
  <c r="DT5" i="17"/>
  <c r="E31" i="36" s="1"/>
  <c r="DT11" i="17"/>
  <c r="E29" i="36" s="1"/>
  <c r="DV12" i="17"/>
  <c r="M26" i="36" s="1"/>
  <c r="DU12" i="17"/>
  <c r="I26" i="36" s="1"/>
  <c r="DT12" i="17"/>
  <c r="E26" i="36" s="1"/>
  <c r="DV13" i="17"/>
  <c r="M21" i="36" s="1"/>
  <c r="DU13" i="17"/>
  <c r="I21" i="36" s="1"/>
  <c r="DT13" i="17"/>
  <c r="E21" i="36" s="1"/>
  <c r="DV14" i="17"/>
  <c r="M16" i="36" s="1"/>
  <c r="DU14" i="17"/>
  <c r="I16" i="36" s="1"/>
  <c r="DT14" i="17"/>
  <c r="DV18" i="17"/>
  <c r="M15" i="36" s="1"/>
  <c r="DU18" i="17"/>
  <c r="I15" i="36" s="1"/>
  <c r="DT18" i="17"/>
  <c r="DT1" i="17"/>
  <c r="J16" i="14" l="1"/>
  <c r="I5" i="11" s="1"/>
  <c r="K16" i="14"/>
  <c r="G5" i="11" s="1"/>
  <c r="E34" i="3"/>
  <c r="E23" i="36"/>
  <c r="M18" i="36"/>
  <c r="I18" i="36"/>
  <c r="E16" i="36"/>
  <c r="W27" i="36"/>
  <c r="E35" i="36"/>
  <c r="E38" i="36" s="1"/>
  <c r="Q32" i="36"/>
  <c r="R32" i="36" s="1"/>
  <c r="E15" i="36"/>
  <c r="Q15" i="36" s="1"/>
  <c r="W41" i="36"/>
  <c r="W40" i="36"/>
  <c r="R39" i="36"/>
  <c r="Q36" i="36"/>
  <c r="R36" i="36" s="1"/>
  <c r="X36" i="36" s="1"/>
  <c r="R34" i="36"/>
  <c r="X34" i="36" s="1"/>
  <c r="Q31" i="36"/>
  <c r="R31" i="36" s="1"/>
  <c r="X31" i="36" s="1"/>
  <c r="R30" i="36"/>
  <c r="W26" i="36"/>
  <c r="Q25" i="36"/>
  <c r="R24" i="36"/>
  <c r="W21" i="36"/>
  <c r="Q20" i="36"/>
  <c r="R19" i="36"/>
  <c r="X19" i="36" s="1"/>
  <c r="R14" i="36"/>
  <c r="R40" i="36"/>
  <c r="Q34" i="36"/>
  <c r="W31" i="36"/>
  <c r="R26" i="36"/>
  <c r="W14" i="36"/>
  <c r="M43" i="36"/>
  <c r="I43" i="36"/>
  <c r="E43" i="36"/>
  <c r="M38" i="36"/>
  <c r="E33" i="36"/>
  <c r="W30" i="36"/>
  <c r="I33" i="36"/>
  <c r="M33" i="36"/>
  <c r="M28" i="36"/>
  <c r="I28" i="36"/>
  <c r="R25" i="36"/>
  <c r="X25" i="36" s="1"/>
  <c r="W25" i="36"/>
  <c r="R20" i="36"/>
  <c r="X20" i="36" s="1"/>
  <c r="M23" i="36"/>
  <c r="W20" i="36"/>
  <c r="I23" i="36"/>
  <c r="W24" i="36"/>
  <c r="Q21" i="36"/>
  <c r="Q26" i="36"/>
  <c r="E28" i="36"/>
  <c r="Q29" i="36"/>
  <c r="R29" i="36"/>
  <c r="Q40" i="36"/>
  <c r="R21" i="36"/>
  <c r="Q14" i="36"/>
  <c r="Q19" i="36"/>
  <c r="Q24" i="36"/>
  <c r="Q27" i="36"/>
  <c r="R27" i="36" s="1"/>
  <c r="W39" i="36"/>
  <c r="W19" i="36"/>
  <c r="W34" i="36"/>
  <c r="Q41" i="36"/>
  <c r="R41" i="36" s="1"/>
  <c r="Q30" i="36"/>
  <c r="W29" i="36"/>
  <c r="I38" i="36"/>
  <c r="Q39" i="36"/>
  <c r="DS13" i="17"/>
  <c r="DS14" i="17"/>
  <c r="DR13" i="17"/>
  <c r="DR14" i="17"/>
  <c r="DQ13" i="17"/>
  <c r="N36" i="14" s="1"/>
  <c r="DQ14" i="17"/>
  <c r="N49" i="14" s="1"/>
  <c r="J49" i="14" l="1"/>
  <c r="I27" i="11" s="1"/>
  <c r="K49" i="14"/>
  <c r="G27" i="11" s="1"/>
  <c r="J27" i="11" s="1"/>
  <c r="K36" i="14"/>
  <c r="G23" i="11" s="1"/>
  <c r="J36" i="14"/>
  <c r="I23" i="11" s="1"/>
  <c r="E18" i="36"/>
  <c r="G24" i="36" s="1"/>
  <c r="H24" i="36" s="1"/>
  <c r="W15" i="36"/>
  <c r="R15" i="36"/>
  <c r="X15" i="36" s="1"/>
  <c r="R35" i="36"/>
  <c r="X35" i="36" s="1"/>
  <c r="W35" i="36"/>
  <c r="R16" i="36"/>
  <c r="X16" i="36" s="1"/>
  <c r="Q16" i="36"/>
  <c r="Q35" i="36"/>
  <c r="W16" i="36"/>
  <c r="X40" i="36"/>
  <c r="X39" i="36"/>
  <c r="X30" i="36"/>
  <c r="X26" i="36"/>
  <c r="X24" i="36"/>
  <c r="AA43" i="36"/>
  <c r="AA33" i="36"/>
  <c r="X14" i="36"/>
  <c r="Q43" i="36"/>
  <c r="Q33" i="36"/>
  <c r="O14" i="36"/>
  <c r="K34" i="36"/>
  <c r="Q23" i="36"/>
  <c r="AA23" i="36"/>
  <c r="K24" i="36"/>
  <c r="K39" i="36"/>
  <c r="X27" i="36"/>
  <c r="O19" i="36"/>
  <c r="X21" i="36"/>
  <c r="X41" i="36"/>
  <c r="AA28" i="36"/>
  <c r="Q28" i="36"/>
  <c r="O24" i="36"/>
  <c r="O34" i="36"/>
  <c r="K14" i="36"/>
  <c r="X29" i="36"/>
  <c r="O39" i="36"/>
  <c r="AA38" i="36"/>
  <c r="Q38" i="36"/>
  <c r="O29" i="36"/>
  <c r="K19" i="36"/>
  <c r="K29" i="36"/>
  <c r="AJ30" i="3"/>
  <c r="AD20" i="3"/>
  <c r="AE20" i="3"/>
  <c r="AF20" i="3"/>
  <c r="AG20" i="3"/>
  <c r="AH20" i="3"/>
  <c r="AI20" i="3"/>
  <c r="AJ20" i="3"/>
  <c r="AD21" i="3"/>
  <c r="AE21" i="3"/>
  <c r="AF21" i="3"/>
  <c r="AG21" i="3"/>
  <c r="AH21" i="3"/>
  <c r="AI21" i="3"/>
  <c r="AJ21" i="3"/>
  <c r="AD22" i="3"/>
  <c r="AE22" i="3"/>
  <c r="AF22" i="3"/>
  <c r="AG22" i="3"/>
  <c r="AH22" i="3"/>
  <c r="AI22" i="3"/>
  <c r="AJ22" i="3"/>
  <c r="AD23" i="3"/>
  <c r="AE23" i="3"/>
  <c r="AF23" i="3"/>
  <c r="AG23" i="3"/>
  <c r="AH23" i="3"/>
  <c r="AI23" i="3"/>
  <c r="AJ23" i="3"/>
  <c r="AD24" i="3"/>
  <c r="AE24" i="3"/>
  <c r="AF24" i="3"/>
  <c r="AG24" i="3"/>
  <c r="AH24" i="3"/>
  <c r="AI24" i="3"/>
  <c r="AJ24" i="3"/>
  <c r="AD25" i="3"/>
  <c r="AE25" i="3"/>
  <c r="AF25" i="3"/>
  <c r="AG25" i="3"/>
  <c r="AH25" i="3"/>
  <c r="AI25" i="3"/>
  <c r="AJ25" i="3"/>
  <c r="AD26" i="3"/>
  <c r="AE26" i="3"/>
  <c r="AF26" i="3"/>
  <c r="AG26" i="3"/>
  <c r="AH26" i="3"/>
  <c r="AI26" i="3"/>
  <c r="AJ26" i="3"/>
  <c r="AD27" i="3"/>
  <c r="AE27" i="3"/>
  <c r="AF27" i="3"/>
  <c r="AG27" i="3"/>
  <c r="AH27" i="3"/>
  <c r="AI27" i="3"/>
  <c r="AJ27" i="3"/>
  <c r="AD28" i="3"/>
  <c r="AE28" i="3"/>
  <c r="AF28" i="3"/>
  <c r="AG28" i="3"/>
  <c r="AH28" i="3"/>
  <c r="AI28" i="3"/>
  <c r="AJ28" i="3"/>
  <c r="AD29" i="3"/>
  <c r="AE29" i="3"/>
  <c r="AF29" i="3"/>
  <c r="AG29" i="3"/>
  <c r="AH29" i="3"/>
  <c r="AI29" i="3"/>
  <c r="AJ29" i="3"/>
  <c r="AD30" i="3"/>
  <c r="AE30" i="3"/>
  <c r="AF30" i="3"/>
  <c r="AG30" i="3"/>
  <c r="AH30" i="3"/>
  <c r="AI30" i="3"/>
  <c r="AD31" i="3"/>
  <c r="AE31" i="3"/>
  <c r="AF31" i="3"/>
  <c r="AG31" i="3"/>
  <c r="AH31" i="3"/>
  <c r="AI31" i="3"/>
  <c r="AJ31" i="3"/>
  <c r="AD32" i="3"/>
  <c r="AE32" i="3"/>
  <c r="AF32" i="3"/>
  <c r="AG32" i="3"/>
  <c r="AH32" i="3"/>
  <c r="AI32" i="3"/>
  <c r="AJ32" i="3"/>
  <c r="AD33" i="3"/>
  <c r="AE33" i="3"/>
  <c r="AF33" i="3"/>
  <c r="AG33" i="3"/>
  <c r="AH33" i="3"/>
  <c r="AI33" i="3"/>
  <c r="AJ33" i="3"/>
  <c r="AE19" i="3"/>
  <c r="AF19" i="3"/>
  <c r="AG19" i="3"/>
  <c r="AH19" i="3"/>
  <c r="AI19" i="3"/>
  <c r="AJ19" i="3"/>
  <c r="AD19" i="3"/>
  <c r="A35" i="11"/>
  <c r="A27" i="11"/>
  <c r="J23" i="11" l="1"/>
  <c r="H23" i="11"/>
  <c r="G39" i="36"/>
  <c r="H39" i="36" s="1"/>
  <c r="AA18" i="36"/>
  <c r="L14" i="36" s="1"/>
  <c r="G14" i="36"/>
  <c r="H14" i="36" s="1"/>
  <c r="G29" i="36"/>
  <c r="H29" i="36" s="1"/>
  <c r="G19" i="36"/>
  <c r="H19" i="36" s="1"/>
  <c r="Q18" i="36"/>
  <c r="S29" i="36" s="1"/>
  <c r="P29" i="36" s="1"/>
  <c r="G34" i="36"/>
  <c r="H34" i="36" s="1"/>
  <c r="E2" i="36" a="1"/>
  <c r="E2" i="36" s="1"/>
  <c r="D2" i="36" s="1"/>
  <c r="E4" i="36" a="1"/>
  <c r="E4" i="36" s="1"/>
  <c r="D4" i="36" s="1"/>
  <c r="E3" i="36" a="1"/>
  <c r="E3" i="36" s="1"/>
  <c r="D3" i="36" s="1"/>
  <c r="E5" i="36" a="1"/>
  <c r="E5" i="36" s="1"/>
  <c r="D5" i="36" s="1"/>
  <c r="EZ10" i="17"/>
  <c r="EY10" i="17"/>
  <c r="U21" i="44" s="1"/>
  <c r="EX10" i="17"/>
  <c r="EV10" i="17"/>
  <c r="FA10" i="17" l="1"/>
  <c r="L24" i="36"/>
  <c r="T19" i="36"/>
  <c r="S24" i="36"/>
  <c r="P24" i="36" s="1"/>
  <c r="T24" i="36"/>
  <c r="L39" i="36"/>
  <c r="T39" i="36"/>
  <c r="L29" i="36"/>
  <c r="T29" i="36"/>
  <c r="L34" i="36"/>
  <c r="S34" i="36"/>
  <c r="P34" i="36" s="1"/>
  <c r="T34" i="36"/>
  <c r="S14" i="36"/>
  <c r="P14" i="36" s="1"/>
  <c r="T14" i="36"/>
  <c r="S19" i="36"/>
  <c r="P19" i="36" s="1"/>
  <c r="S39" i="36"/>
  <c r="P39" i="36" s="1"/>
  <c r="L19" i="36"/>
  <c r="OM27" i="16"/>
  <c r="OM34" i="16"/>
  <c r="ON34" i="16"/>
  <c r="ON27" i="16"/>
  <c r="K26" i="14" l="1"/>
  <c r="K31" i="14"/>
  <c r="K39" i="14"/>
  <c r="K40" i="14"/>
  <c r="K41" i="14"/>
  <c r="K43" i="14"/>
  <c r="K44" i="14"/>
  <c r="K45" i="14"/>
  <c r="K48" i="14"/>
  <c r="K51" i="14"/>
  <c r="K52" i="14"/>
  <c r="J26" i="14"/>
  <c r="J31" i="14"/>
  <c r="J39" i="14"/>
  <c r="J40" i="14"/>
  <c r="J41" i="14"/>
  <c r="J43" i="14"/>
  <c r="J44" i="14"/>
  <c r="J45" i="14"/>
  <c r="J48" i="14"/>
  <c r="J51" i="14"/>
  <c r="J52" i="14"/>
  <c r="I26" i="14"/>
  <c r="I31" i="14"/>
  <c r="I39" i="14"/>
  <c r="I40" i="14"/>
  <c r="I41" i="14"/>
  <c r="I43" i="14"/>
  <c r="I44" i="14"/>
  <c r="I45" i="14"/>
  <c r="I48" i="14"/>
  <c r="I51" i="14"/>
  <c r="I52" i="14"/>
  <c r="H26" i="14"/>
  <c r="H31" i="14"/>
  <c r="H39" i="14"/>
  <c r="H40" i="14"/>
  <c r="H41" i="14"/>
  <c r="H43" i="14"/>
  <c r="H44" i="14"/>
  <c r="H45" i="14"/>
  <c r="H48" i="14"/>
  <c r="H51" i="14"/>
  <c r="H52" i="14"/>
  <c r="G26" i="14"/>
  <c r="G31" i="14"/>
  <c r="G39" i="14"/>
  <c r="G40" i="14"/>
  <c r="G43" i="14"/>
  <c r="G44" i="14"/>
  <c r="G45" i="14"/>
  <c r="G48" i="14"/>
  <c r="G51" i="14"/>
  <c r="G52" i="14"/>
  <c r="F26" i="14"/>
  <c r="F31" i="14"/>
  <c r="F39" i="14"/>
  <c r="F40" i="14"/>
  <c r="F43" i="14"/>
  <c r="F44" i="14"/>
  <c r="F45" i="14"/>
  <c r="F48" i="14"/>
  <c r="F51" i="14"/>
  <c r="F52" i="14"/>
  <c r="E57" i="14"/>
  <c r="E48" i="14"/>
  <c r="E58" i="14"/>
  <c r="E59" i="14"/>
  <c r="E51" i="14"/>
  <c r="E52" i="14"/>
  <c r="E42" i="14"/>
  <c r="E49" i="14"/>
  <c r="E36" i="14"/>
  <c r="E46" i="14"/>
  <c r="D48" i="14"/>
  <c r="D58" i="14"/>
  <c r="D59" i="14"/>
  <c r="D51" i="14"/>
  <c r="D52" i="14"/>
  <c r="D42" i="14"/>
  <c r="D49" i="14"/>
  <c r="D36" i="14"/>
  <c r="D46" i="14"/>
  <c r="E21" i="14"/>
  <c r="E56" i="14"/>
  <c r="E25" i="14"/>
  <c r="E54" i="14"/>
  <c r="E16" i="14"/>
  <c r="E53" i="14"/>
  <c r="E50" i="14"/>
  <c r="E37" i="14"/>
  <c r="E38" i="14"/>
  <c r="E29" i="14"/>
  <c r="E33" i="14"/>
  <c r="E32" i="14"/>
  <c r="E28" i="14"/>
  <c r="E27" i="14"/>
  <c r="E30" i="14"/>
  <c r="E20" i="14"/>
  <c r="E22" i="14"/>
  <c r="E18" i="14"/>
  <c r="E23" i="14"/>
  <c r="E14" i="14"/>
  <c r="E17" i="14"/>
  <c r="E24" i="14"/>
  <c r="E15" i="14"/>
  <c r="E13" i="14"/>
  <c r="D57" i="14"/>
  <c r="D21" i="14"/>
  <c r="D56" i="14"/>
  <c r="D25" i="14"/>
  <c r="D54" i="14"/>
  <c r="D16" i="14"/>
  <c r="D53" i="14"/>
  <c r="D50" i="14"/>
  <c r="D37" i="14"/>
  <c r="D38" i="14"/>
  <c r="D29" i="14"/>
  <c r="D33" i="14"/>
  <c r="D32" i="14"/>
  <c r="D28" i="14"/>
  <c r="D27" i="14"/>
  <c r="D30" i="14"/>
  <c r="D20" i="14"/>
  <c r="D22" i="14"/>
  <c r="D18" i="14"/>
  <c r="D23" i="14"/>
  <c r="D14" i="14"/>
  <c r="D17" i="14"/>
  <c r="D24" i="14"/>
  <c r="D15" i="14"/>
  <c r="D13" i="14"/>
  <c r="Y26" i="35" l="1"/>
  <c r="Y21" i="35"/>
  <c r="Y16" i="35"/>
  <c r="Z43" i="35"/>
  <c r="Y43" i="35" s="1"/>
  <c r="Z42" i="35"/>
  <c r="Y42" i="35"/>
  <c r="Z41" i="35"/>
  <c r="Y41" i="35" s="1"/>
  <c r="Z40" i="35"/>
  <c r="Y40" i="35" s="1"/>
  <c r="Z39" i="35"/>
  <c r="Y39" i="35" s="1"/>
  <c r="Z38" i="35"/>
  <c r="Y38" i="35" s="1"/>
  <c r="Z37" i="35"/>
  <c r="Y37" i="35"/>
  <c r="Z36" i="35"/>
  <c r="Y36" i="35"/>
  <c r="X36" i="35"/>
  <c r="Z35" i="35"/>
  <c r="Y35" i="35" s="1"/>
  <c r="Z34" i="35"/>
  <c r="Y34" i="35" s="1"/>
  <c r="Q42" i="35"/>
  <c r="R42" i="35" s="1"/>
  <c r="Q37" i="35"/>
  <c r="R37" i="35" s="1"/>
  <c r="R36" i="35"/>
  <c r="Q36" i="35"/>
  <c r="M40" i="35"/>
  <c r="M39" i="35"/>
  <c r="M35" i="35"/>
  <c r="M34" i="35"/>
  <c r="M29" i="35"/>
  <c r="M24" i="35"/>
  <c r="M19" i="35"/>
  <c r="I40" i="35"/>
  <c r="I39" i="35"/>
  <c r="I35" i="35"/>
  <c r="I34" i="35"/>
  <c r="I29" i="35"/>
  <c r="I24" i="35"/>
  <c r="I19" i="35"/>
  <c r="E40" i="35"/>
  <c r="E39" i="35"/>
  <c r="E35" i="35"/>
  <c r="E34" i="35"/>
  <c r="E29" i="35"/>
  <c r="E24" i="35"/>
  <c r="E19" i="35"/>
  <c r="M15" i="35"/>
  <c r="I15" i="35"/>
  <c r="E15" i="35"/>
  <c r="M14" i="35"/>
  <c r="I14" i="35"/>
  <c r="E14" i="35"/>
  <c r="DQ1" i="17"/>
  <c r="Z33" i="35"/>
  <c r="Y33" i="35"/>
  <c r="Z32" i="35"/>
  <c r="Y32" i="35" s="1"/>
  <c r="M32" i="35"/>
  <c r="I32" i="35"/>
  <c r="E32" i="35"/>
  <c r="Z31" i="35"/>
  <c r="Y31" i="35" s="1"/>
  <c r="Z30" i="35"/>
  <c r="Y30" i="35" s="1"/>
  <c r="Z29" i="35"/>
  <c r="Y29" i="35" s="1"/>
  <c r="Z28" i="35"/>
  <c r="Z27" i="35"/>
  <c r="M27" i="35"/>
  <c r="I27" i="35"/>
  <c r="E27" i="35"/>
  <c r="Z26" i="35"/>
  <c r="Z25" i="35"/>
  <c r="Y25" i="35" s="1"/>
  <c r="Z24" i="35"/>
  <c r="Y24" i="35" s="1"/>
  <c r="Z23" i="35"/>
  <c r="R22" i="35"/>
  <c r="Q22" i="35"/>
  <c r="Z21" i="35"/>
  <c r="Z20" i="35"/>
  <c r="Y20" i="35"/>
  <c r="Z19" i="35"/>
  <c r="Y19" i="35" s="1"/>
  <c r="Z18" i="35"/>
  <c r="Q17" i="35"/>
  <c r="R17" i="35" s="1"/>
  <c r="Z16" i="35"/>
  <c r="Z15" i="35"/>
  <c r="Y15" i="35" s="1"/>
  <c r="Z14" i="35"/>
  <c r="Y14" i="35" s="1"/>
  <c r="M41" i="35"/>
  <c r="E41" i="35"/>
  <c r="M31" i="35"/>
  <c r="E31" i="35"/>
  <c r="DS5" i="17"/>
  <c r="M30" i="35" s="1"/>
  <c r="DR5" i="17"/>
  <c r="I30" i="35" s="1"/>
  <c r="DQ5" i="17"/>
  <c r="E30" i="35" s="1"/>
  <c r="DS26" i="17"/>
  <c r="DR26" i="17"/>
  <c r="I26" i="35" s="1"/>
  <c r="DQ26" i="17"/>
  <c r="DS18" i="17"/>
  <c r="M25" i="35" s="1"/>
  <c r="DR18" i="17"/>
  <c r="DQ18" i="17"/>
  <c r="E25" i="35" s="1"/>
  <c r="DS40" i="17"/>
  <c r="M21" i="35" s="1"/>
  <c r="DR40" i="17"/>
  <c r="I21" i="35" s="1"/>
  <c r="DQ40" i="17"/>
  <c r="E21" i="35" s="1"/>
  <c r="DS7" i="17"/>
  <c r="M20" i="35" s="1"/>
  <c r="DR7" i="17"/>
  <c r="I20" i="35" s="1"/>
  <c r="DQ7" i="17"/>
  <c r="E20" i="35" s="1"/>
  <c r="DS12" i="17"/>
  <c r="M16" i="35" s="1"/>
  <c r="DR12" i="17"/>
  <c r="I16" i="35" s="1"/>
  <c r="DQ12" i="17"/>
  <c r="EX26" i="17"/>
  <c r="EX13" i="17"/>
  <c r="EX14" i="17"/>
  <c r="E16" i="35" l="1"/>
  <c r="E18" i="35" s="1"/>
  <c r="J35" i="14"/>
  <c r="I21" i="11" s="1"/>
  <c r="K35" i="14"/>
  <c r="G21" i="11" s="1"/>
  <c r="K46" i="14"/>
  <c r="G8" i="11" s="1"/>
  <c r="J46" i="14"/>
  <c r="I8" i="11" s="1"/>
  <c r="M38" i="35"/>
  <c r="W40" i="35"/>
  <c r="Q32" i="35"/>
  <c r="R32" i="35" s="1"/>
  <c r="I38" i="35"/>
  <c r="W34" i="35"/>
  <c r="EZ13" i="17"/>
  <c r="R35" i="35"/>
  <c r="X35" i="35" s="1"/>
  <c r="R40" i="35"/>
  <c r="X40" i="35" s="1"/>
  <c r="E43" i="35"/>
  <c r="R39" i="35"/>
  <c r="X39" i="35" s="1"/>
  <c r="M43" i="35"/>
  <c r="I31" i="35"/>
  <c r="W31" i="35" s="1"/>
  <c r="EY13" i="17"/>
  <c r="U31" i="44" s="1"/>
  <c r="M36" i="14"/>
  <c r="Q40" i="35"/>
  <c r="W35" i="35"/>
  <c r="EZ26" i="17"/>
  <c r="N46" i="14"/>
  <c r="M49" i="14"/>
  <c r="Q27" i="35"/>
  <c r="R27" i="35" s="1"/>
  <c r="X27" i="35" s="1"/>
  <c r="I25" i="35"/>
  <c r="R25" i="35" s="1"/>
  <c r="X25" i="35" s="1"/>
  <c r="EY26" i="17"/>
  <c r="I41" i="35"/>
  <c r="Q41" i="35" s="1"/>
  <c r="R41" i="35" s="1"/>
  <c r="M26" i="35"/>
  <c r="M28" i="35" s="1"/>
  <c r="W39" i="35"/>
  <c r="Q34" i="35"/>
  <c r="E38" i="35"/>
  <c r="E26" i="35"/>
  <c r="R34" i="35"/>
  <c r="Q39" i="35"/>
  <c r="Q35" i="35"/>
  <c r="W30" i="35"/>
  <c r="Q29" i="35"/>
  <c r="Q20" i="35"/>
  <c r="Q19" i="35"/>
  <c r="W29" i="35"/>
  <c r="W21" i="35"/>
  <c r="W19" i="35"/>
  <c r="W15" i="35"/>
  <c r="Q14" i="35"/>
  <c r="M33" i="35"/>
  <c r="R29" i="35"/>
  <c r="X29" i="35" s="1"/>
  <c r="R20" i="35"/>
  <c r="I23" i="35"/>
  <c r="R15" i="35"/>
  <c r="X15" i="35" s="1"/>
  <c r="Q15" i="35"/>
  <c r="W20" i="35"/>
  <c r="R21" i="35"/>
  <c r="E23" i="35"/>
  <c r="Q24" i="35"/>
  <c r="R24" i="35"/>
  <c r="Q30" i="35"/>
  <c r="W14" i="35"/>
  <c r="Q21" i="35"/>
  <c r="I18" i="35"/>
  <c r="R19" i="35"/>
  <c r="M23" i="35"/>
  <c r="W27" i="35"/>
  <c r="R30" i="35"/>
  <c r="E33" i="35"/>
  <c r="R14" i="35"/>
  <c r="M18" i="35"/>
  <c r="W24" i="35"/>
  <c r="EY14" i="17"/>
  <c r="U26" i="44" s="1"/>
  <c r="EZ14" i="17"/>
  <c r="OO29" i="16"/>
  <c r="ON29" i="16"/>
  <c r="OM29" i="16"/>
  <c r="M46" i="14" l="1"/>
  <c r="Q16" i="35"/>
  <c r="W16" i="35"/>
  <c r="R16" i="35"/>
  <c r="X16" i="35" s="1"/>
  <c r="J8" i="11"/>
  <c r="H8" i="11"/>
  <c r="J21" i="11"/>
  <c r="H21" i="11"/>
  <c r="FA13" i="17"/>
  <c r="W26" i="35"/>
  <c r="AA38" i="35"/>
  <c r="Q31" i="35"/>
  <c r="R31" i="35" s="1"/>
  <c r="X31" i="35" s="1"/>
  <c r="Q25" i="35"/>
  <c r="I33" i="35"/>
  <c r="Q33" i="35" s="1"/>
  <c r="W25" i="35"/>
  <c r="Q38" i="35"/>
  <c r="I28" i="35"/>
  <c r="E28" i="35"/>
  <c r="G19" i="35" s="1"/>
  <c r="H19" i="35" s="1"/>
  <c r="Q26" i="35"/>
  <c r="R26" i="35"/>
  <c r="X26" i="35" s="1"/>
  <c r="X41" i="35"/>
  <c r="I43" i="35"/>
  <c r="W41" i="35"/>
  <c r="X34" i="35"/>
  <c r="FA14" i="17"/>
  <c r="FA26" i="17"/>
  <c r="O14" i="35"/>
  <c r="O24" i="35"/>
  <c r="O39" i="35"/>
  <c r="O34" i="35"/>
  <c r="O29" i="35"/>
  <c r="O19" i="35"/>
  <c r="X20" i="35"/>
  <c r="AA18" i="35"/>
  <c r="X19" i="35"/>
  <c r="Q18" i="35"/>
  <c r="X21" i="35"/>
  <c r="X30" i="35"/>
  <c r="X24" i="35"/>
  <c r="X14" i="35"/>
  <c r="AA23" i="35"/>
  <c r="Q23" i="35"/>
  <c r="M29" i="34"/>
  <c r="M25" i="34"/>
  <c r="M24" i="34"/>
  <c r="M20" i="34"/>
  <c r="M19" i="34"/>
  <c r="I29" i="34"/>
  <c r="I25" i="34"/>
  <c r="I24" i="34"/>
  <c r="I20" i="34"/>
  <c r="I19" i="34"/>
  <c r="E29" i="34"/>
  <c r="E25" i="34"/>
  <c r="E24" i="34"/>
  <c r="E20" i="34"/>
  <c r="E19" i="34"/>
  <c r="M15" i="34"/>
  <c r="I15" i="34"/>
  <c r="E15" i="34"/>
  <c r="M14" i="34"/>
  <c r="I14" i="34"/>
  <c r="E14" i="34"/>
  <c r="DN1" i="17"/>
  <c r="Z33" i="34"/>
  <c r="Y33" i="34"/>
  <c r="Z32" i="34"/>
  <c r="Y32" i="34" s="1"/>
  <c r="M32" i="34"/>
  <c r="I32" i="34"/>
  <c r="E32" i="34"/>
  <c r="Z31" i="34"/>
  <c r="Y31" i="34" s="1"/>
  <c r="Q31" i="34"/>
  <c r="R31" i="34" s="1"/>
  <c r="Z30" i="34"/>
  <c r="Y30" i="34"/>
  <c r="Z29" i="34"/>
  <c r="Y29" i="34"/>
  <c r="Z28" i="34"/>
  <c r="Z27" i="34"/>
  <c r="M27" i="34"/>
  <c r="I27" i="34"/>
  <c r="E27" i="34"/>
  <c r="Z26" i="34"/>
  <c r="M26" i="34"/>
  <c r="I26" i="34"/>
  <c r="E26" i="34"/>
  <c r="Z25" i="34"/>
  <c r="Y25" i="34" s="1"/>
  <c r="Z24" i="34"/>
  <c r="Y24" i="34"/>
  <c r="Z23" i="34"/>
  <c r="Q22" i="34"/>
  <c r="R22" i="34" s="1"/>
  <c r="Z21" i="34"/>
  <c r="M21" i="34"/>
  <c r="I21" i="34"/>
  <c r="E21" i="34"/>
  <c r="Z20" i="34"/>
  <c r="Y20" i="34" s="1"/>
  <c r="Z19" i="34"/>
  <c r="Y19" i="34" s="1"/>
  <c r="Z18" i="34"/>
  <c r="Q17" i="34"/>
  <c r="R17" i="34" s="1"/>
  <c r="Z16" i="34"/>
  <c r="M16" i="34"/>
  <c r="I16" i="34"/>
  <c r="E16" i="34"/>
  <c r="Z15" i="34"/>
  <c r="Y15" i="34"/>
  <c r="Z14" i="34"/>
  <c r="Y14" i="34"/>
  <c r="DP18" i="17"/>
  <c r="M30" i="34" s="1"/>
  <c r="DO18" i="17"/>
  <c r="I30" i="34" s="1"/>
  <c r="DN18" i="17"/>
  <c r="E3" i="35" l="1" a="1"/>
  <c r="E3" i="35" s="1"/>
  <c r="D3" i="35" s="1"/>
  <c r="E2" i="35" a="1"/>
  <c r="E2" i="35" s="1"/>
  <c r="D2" i="35" s="1"/>
  <c r="AA33" i="35"/>
  <c r="G29" i="35"/>
  <c r="H29" i="35" s="1"/>
  <c r="G39" i="35"/>
  <c r="H39" i="35" s="1"/>
  <c r="G24" i="35"/>
  <c r="H24" i="35" s="1"/>
  <c r="G34" i="35"/>
  <c r="H34" i="35" s="1"/>
  <c r="G14" i="35"/>
  <c r="H14" i="35" s="1"/>
  <c r="Q28" i="35"/>
  <c r="T29" i="35" s="1"/>
  <c r="K24" i="35"/>
  <c r="AA28" i="35"/>
  <c r="K29" i="35"/>
  <c r="K34" i="35"/>
  <c r="K39" i="35"/>
  <c r="K19" i="35"/>
  <c r="K14" i="35"/>
  <c r="Q43" i="35"/>
  <c r="AA43" i="35"/>
  <c r="E5" i="35" a="1"/>
  <c r="E5" i="35" s="1"/>
  <c r="D5" i="35" s="1"/>
  <c r="E4" i="35" a="1"/>
  <c r="E4" i="35" s="1"/>
  <c r="D4" i="35" s="1"/>
  <c r="E30" i="34"/>
  <c r="R30" i="34" s="1"/>
  <c r="X30" i="34" s="1"/>
  <c r="W27" i="34"/>
  <c r="W26" i="34"/>
  <c r="I33" i="34"/>
  <c r="W29" i="34"/>
  <c r="W25" i="34"/>
  <c r="Q24" i="34"/>
  <c r="W20" i="34"/>
  <c r="R19" i="34"/>
  <c r="X19" i="34" s="1"/>
  <c r="R24" i="34"/>
  <c r="Q15" i="34"/>
  <c r="E18" i="34"/>
  <c r="W15" i="34"/>
  <c r="R14" i="34"/>
  <c r="M33" i="34"/>
  <c r="Q25" i="34"/>
  <c r="Q20" i="34"/>
  <c r="I23" i="34"/>
  <c r="Q32" i="34"/>
  <c r="R32" i="34" s="1"/>
  <c r="Q26" i="34"/>
  <c r="Q21" i="34"/>
  <c r="E23" i="34"/>
  <c r="M23" i="34"/>
  <c r="W16" i="34"/>
  <c r="M18" i="34"/>
  <c r="Q16" i="34"/>
  <c r="X31" i="34"/>
  <c r="W14" i="34"/>
  <c r="R15" i="34"/>
  <c r="W19" i="34"/>
  <c r="W24" i="34"/>
  <c r="R25" i="34"/>
  <c r="R20" i="34"/>
  <c r="E28" i="34"/>
  <c r="Q29" i="34"/>
  <c r="R16" i="34"/>
  <c r="R21" i="34"/>
  <c r="R26" i="34"/>
  <c r="I28" i="34"/>
  <c r="R29" i="34"/>
  <c r="Q14" i="34"/>
  <c r="Q19" i="34"/>
  <c r="Q27" i="34"/>
  <c r="R27" i="34" s="1"/>
  <c r="M28" i="34"/>
  <c r="I18" i="34"/>
  <c r="W21" i="34"/>
  <c r="L14" i="35" l="1"/>
  <c r="T34" i="35"/>
  <c r="T19" i="35"/>
  <c r="T24" i="35"/>
  <c r="T14" i="35"/>
  <c r="T39" i="35"/>
  <c r="S39" i="35"/>
  <c r="P39" i="35" s="1"/>
  <c r="S34" i="35"/>
  <c r="P34" i="35" s="1"/>
  <c r="S29" i="35"/>
  <c r="P29" i="35" s="1"/>
  <c r="S14" i="35"/>
  <c r="P14" i="35" s="1"/>
  <c r="S19" i="35"/>
  <c r="P19" i="35" s="1"/>
  <c r="L24" i="35"/>
  <c r="L29" i="35"/>
  <c r="S24" i="35"/>
  <c r="P24" i="35" s="1"/>
  <c r="L34" i="35"/>
  <c r="L39" i="35"/>
  <c r="L19" i="35"/>
  <c r="Q30" i="34"/>
  <c r="E33" i="34"/>
  <c r="G14" i="34" s="1"/>
  <c r="H14" i="34" s="1"/>
  <c r="W30" i="34"/>
  <c r="E3" i="34" s="1" a="1"/>
  <c r="E3" i="34" s="1"/>
  <c r="D3" i="34" s="1"/>
  <c r="X24" i="34"/>
  <c r="AA23" i="34"/>
  <c r="AA18" i="34"/>
  <c r="X14" i="34"/>
  <c r="K24" i="34"/>
  <c r="Q23" i="34"/>
  <c r="O24" i="34"/>
  <c r="K29" i="34"/>
  <c r="X15" i="34"/>
  <c r="K19" i="34"/>
  <c r="X20" i="34"/>
  <c r="X29" i="34"/>
  <c r="X27" i="34"/>
  <c r="X16" i="34"/>
  <c r="O19" i="34"/>
  <c r="O29" i="34"/>
  <c r="K14" i="34"/>
  <c r="X26" i="34"/>
  <c r="X21" i="34"/>
  <c r="Q28" i="34"/>
  <c r="AA28" i="34"/>
  <c r="Q18" i="34"/>
  <c r="X25" i="34"/>
  <c r="O14" i="34"/>
  <c r="Y32" i="25"/>
  <c r="Y31" i="25"/>
  <c r="Y30" i="25"/>
  <c r="Y27" i="25"/>
  <c r="Y26" i="25"/>
  <c r="Y25" i="25"/>
  <c r="Y22" i="25"/>
  <c r="Y21" i="25"/>
  <c r="Y20" i="25"/>
  <c r="Y16" i="25"/>
  <c r="Y17" i="25"/>
  <c r="Y15" i="25"/>
  <c r="M20" i="25"/>
  <c r="I20" i="25"/>
  <c r="E20" i="25"/>
  <c r="Y31" i="27"/>
  <c r="Y30" i="27"/>
  <c r="Y26" i="27"/>
  <c r="Y25" i="27"/>
  <c r="Y21" i="27"/>
  <c r="Y20" i="27"/>
  <c r="Y15" i="27"/>
  <c r="M25" i="27"/>
  <c r="I25" i="27"/>
  <c r="E25" i="27"/>
  <c r="Y35" i="28"/>
  <c r="Y34" i="28"/>
  <c r="Y30" i="28"/>
  <c r="Y29" i="28"/>
  <c r="Y25" i="28"/>
  <c r="Y24" i="28"/>
  <c r="Y20" i="28"/>
  <c r="Y19" i="28"/>
  <c r="Y15" i="28"/>
  <c r="Y14" i="28"/>
  <c r="Y29" i="29"/>
  <c r="Y30" i="29"/>
  <c r="Y31" i="29"/>
  <c r="Y32" i="29"/>
  <c r="Y33" i="29"/>
  <c r="Y28" i="29"/>
  <c r="Y22" i="29"/>
  <c r="Y23" i="29"/>
  <c r="Y24" i="29"/>
  <c r="Y25" i="29"/>
  <c r="Y26" i="29"/>
  <c r="Y21" i="29"/>
  <c r="Y15" i="29"/>
  <c r="Y16" i="29"/>
  <c r="Y17" i="29"/>
  <c r="Y18" i="29"/>
  <c r="Y19" i="29"/>
  <c r="Y14" i="29"/>
  <c r="Y15" i="30"/>
  <c r="Y19" i="30"/>
  <c r="Y20" i="30"/>
  <c r="Y24" i="30"/>
  <c r="Y25" i="30"/>
  <c r="Y29" i="30"/>
  <c r="Y30" i="30"/>
  <c r="Y14" i="30"/>
  <c r="U38" i="30"/>
  <c r="U37" i="30"/>
  <c r="R36" i="30"/>
  <c r="U36" i="30" s="1"/>
  <c r="R35" i="30"/>
  <c r="U35" i="30" s="1"/>
  <c r="M35" i="30"/>
  <c r="I35" i="30"/>
  <c r="E35" i="30"/>
  <c r="R34" i="30"/>
  <c r="U34" i="30" s="1"/>
  <c r="M34" i="30"/>
  <c r="I34" i="30"/>
  <c r="E34" i="30"/>
  <c r="U33" i="30"/>
  <c r="M32" i="30"/>
  <c r="R31" i="30"/>
  <c r="U31" i="30" s="1"/>
  <c r="M31" i="30"/>
  <c r="I31" i="30"/>
  <c r="E31" i="30"/>
  <c r="U28" i="30"/>
  <c r="M27" i="30"/>
  <c r="I27" i="30"/>
  <c r="E27" i="30"/>
  <c r="R26" i="30"/>
  <c r="U26" i="30" s="1"/>
  <c r="M26" i="30"/>
  <c r="I26" i="30"/>
  <c r="E26" i="30"/>
  <c r="U23" i="30"/>
  <c r="R21" i="30"/>
  <c r="U21" i="30" s="1"/>
  <c r="M21" i="30"/>
  <c r="I21" i="30"/>
  <c r="E21" i="30"/>
  <c r="U18" i="30"/>
  <c r="R16" i="30"/>
  <c r="U16" i="30" s="1"/>
  <c r="M16" i="30"/>
  <c r="I16" i="30"/>
  <c r="E16" i="30"/>
  <c r="W17" i="28"/>
  <c r="W22" i="28"/>
  <c r="W36" i="28"/>
  <c r="W37" i="28"/>
  <c r="M34" i="28"/>
  <c r="I34" i="28"/>
  <c r="E34" i="28"/>
  <c r="U34" i="29"/>
  <c r="E32" i="29"/>
  <c r="E30" i="29"/>
  <c r="E29" i="29"/>
  <c r="E28" i="29"/>
  <c r="U27" i="29"/>
  <c r="E24" i="29"/>
  <c r="E23" i="29"/>
  <c r="U20" i="29"/>
  <c r="E15" i="29"/>
  <c r="E16" i="29"/>
  <c r="E21" i="29"/>
  <c r="M32" i="29"/>
  <c r="M31" i="29"/>
  <c r="M29" i="29"/>
  <c r="M30" i="29"/>
  <c r="M28" i="29"/>
  <c r="M24" i="29"/>
  <c r="M23" i="29"/>
  <c r="M22" i="29"/>
  <c r="M21" i="29"/>
  <c r="M18" i="29"/>
  <c r="M17" i="29"/>
  <c r="M16" i="29"/>
  <c r="I32" i="29"/>
  <c r="I31" i="29"/>
  <c r="I30" i="29"/>
  <c r="I29" i="29"/>
  <c r="I28" i="29"/>
  <c r="I24" i="29"/>
  <c r="I23" i="29"/>
  <c r="I22" i="29"/>
  <c r="I21" i="29"/>
  <c r="I18" i="29"/>
  <c r="I16" i="29"/>
  <c r="I17" i="29"/>
  <c r="M15" i="29"/>
  <c r="I15" i="29"/>
  <c r="M14" i="29"/>
  <c r="I14" i="29"/>
  <c r="E14" i="29"/>
  <c r="E22" i="29"/>
  <c r="E18" i="29"/>
  <c r="E17" i="29"/>
  <c r="CT1" i="17"/>
  <c r="CU1" i="17"/>
  <c r="CV1" i="17"/>
  <c r="CW1" i="17"/>
  <c r="CX1" i="17"/>
  <c r="CY1" i="17"/>
  <c r="CK1" i="17"/>
  <c r="CL1" i="17"/>
  <c r="CM1" i="17"/>
  <c r="CN1" i="17"/>
  <c r="CO1" i="17"/>
  <c r="CP1" i="17"/>
  <c r="CQ1" i="17"/>
  <c r="CR1" i="17"/>
  <c r="CS1" i="17"/>
  <c r="E2" i="34" l="1" a="1"/>
  <c r="E2" i="34" s="1"/>
  <c r="D2" i="34" s="1"/>
  <c r="G24" i="34"/>
  <c r="H24" i="34" s="1"/>
  <c r="Q33" i="34"/>
  <c r="S14" i="34" s="1"/>
  <c r="P14" i="34" s="1"/>
  <c r="G29" i="34"/>
  <c r="H29" i="34" s="1"/>
  <c r="AA33" i="34"/>
  <c r="L14" i="34" s="1"/>
  <c r="G19" i="34"/>
  <c r="H19" i="34" s="1"/>
  <c r="E4" i="34" a="1"/>
  <c r="E4" i="34" s="1"/>
  <c r="D4" i="34" s="1"/>
  <c r="E5" i="34" a="1"/>
  <c r="E5" i="34" s="1"/>
  <c r="D5" i="34" s="1"/>
  <c r="R30" i="29"/>
  <c r="U30" i="29" s="1"/>
  <c r="R18" i="29"/>
  <c r="U18" i="29" s="1"/>
  <c r="W22" i="29"/>
  <c r="R14" i="29"/>
  <c r="U14" i="29" s="1"/>
  <c r="R21" i="29"/>
  <c r="U21" i="29" s="1"/>
  <c r="R16" i="29"/>
  <c r="U16" i="29" s="1"/>
  <c r="W23" i="29"/>
  <c r="W14" i="29"/>
  <c r="W34" i="28"/>
  <c r="R23" i="29"/>
  <c r="U23" i="29" s="1"/>
  <c r="W32" i="29"/>
  <c r="W18" i="29"/>
  <c r="W28" i="29"/>
  <c r="W17" i="29"/>
  <c r="W21" i="29"/>
  <c r="R15" i="29"/>
  <c r="U15" i="29" s="1"/>
  <c r="W24" i="29"/>
  <c r="W15" i="29"/>
  <c r="R24" i="29"/>
  <c r="U24" i="29" s="1"/>
  <c r="W16" i="29"/>
  <c r="R32" i="29"/>
  <c r="U32" i="29" s="1"/>
  <c r="R17" i="29"/>
  <c r="U17" i="29" s="1"/>
  <c r="W30" i="29"/>
  <c r="R28" i="29"/>
  <c r="U28" i="29" s="1"/>
  <c r="W29" i="29"/>
  <c r="R29" i="29"/>
  <c r="U29" i="29" s="1"/>
  <c r="R22" i="29"/>
  <c r="U22" i="29" s="1"/>
  <c r="R20" i="25"/>
  <c r="R25" i="27"/>
  <c r="R34" i="28"/>
  <c r="DM40" i="17"/>
  <c r="DL40" i="17"/>
  <c r="DK40" i="17"/>
  <c r="N42" i="14" s="1"/>
  <c r="K42" i="14" l="1"/>
  <c r="G26" i="11" s="1"/>
  <c r="J42" i="14"/>
  <c r="I26" i="11" s="1"/>
  <c r="T14" i="34"/>
  <c r="L24" i="34"/>
  <c r="L29" i="34"/>
  <c r="L19" i="34"/>
  <c r="S19" i="34"/>
  <c r="P19" i="34" s="1"/>
  <c r="T24" i="34"/>
  <c r="T19" i="34"/>
  <c r="S29" i="34"/>
  <c r="P29" i="34" s="1"/>
  <c r="T29" i="34"/>
  <c r="S24" i="34"/>
  <c r="P24" i="34" s="1"/>
  <c r="M35" i="33"/>
  <c r="M34" i="33"/>
  <c r="M32" i="33"/>
  <c r="Q31" i="33"/>
  <c r="R31" i="33" s="1"/>
  <c r="M29" i="33"/>
  <c r="M25" i="33"/>
  <c r="M24" i="33"/>
  <c r="M21" i="33"/>
  <c r="M20" i="33"/>
  <c r="M19" i="33"/>
  <c r="M15" i="33"/>
  <c r="I35" i="33"/>
  <c r="I34" i="33"/>
  <c r="I32" i="33"/>
  <c r="I29" i="33"/>
  <c r="I25" i="33"/>
  <c r="I24" i="33"/>
  <c r="I21" i="33"/>
  <c r="I20" i="33"/>
  <c r="I19" i="33"/>
  <c r="I15" i="33"/>
  <c r="E35" i="33"/>
  <c r="E34" i="33"/>
  <c r="E32" i="33"/>
  <c r="E29" i="33"/>
  <c r="E25" i="33"/>
  <c r="E24" i="33"/>
  <c r="E21" i="33"/>
  <c r="E20" i="33"/>
  <c r="E19" i="33"/>
  <c r="E15" i="33"/>
  <c r="M14" i="33"/>
  <c r="I14" i="33"/>
  <c r="E14" i="33"/>
  <c r="E27" i="32"/>
  <c r="I27" i="32"/>
  <c r="M27" i="32"/>
  <c r="M26" i="32"/>
  <c r="M25" i="32"/>
  <c r="M24" i="32"/>
  <c r="M21" i="32"/>
  <c r="M20" i="32"/>
  <c r="M19" i="32"/>
  <c r="M16" i="32"/>
  <c r="I26" i="32"/>
  <c r="I25" i="32"/>
  <c r="I24" i="32"/>
  <c r="I21" i="32"/>
  <c r="I20" i="32"/>
  <c r="I19" i="32"/>
  <c r="I16" i="32"/>
  <c r="E26" i="32"/>
  <c r="E25" i="32"/>
  <c r="E24" i="32"/>
  <c r="E21" i="32"/>
  <c r="E20" i="32"/>
  <c r="E19" i="32"/>
  <c r="M15" i="32"/>
  <c r="I15" i="32"/>
  <c r="E15" i="32"/>
  <c r="M14" i="32"/>
  <c r="I14" i="32"/>
  <c r="E14" i="32"/>
  <c r="Z32" i="33"/>
  <c r="Y32" i="33" s="1"/>
  <c r="Z38" i="33"/>
  <c r="R37" i="33"/>
  <c r="Q37" i="33"/>
  <c r="Z36" i="33"/>
  <c r="Y36" i="33" s="1"/>
  <c r="Q36" i="33"/>
  <c r="W36" i="33"/>
  <c r="Z35" i="33"/>
  <c r="Y35" i="33" s="1"/>
  <c r="Z34" i="33"/>
  <c r="Y34" i="33" s="1"/>
  <c r="Z33" i="33"/>
  <c r="Y33" i="33"/>
  <c r="Z31" i="33"/>
  <c r="Y31" i="33" s="1"/>
  <c r="Z30" i="33"/>
  <c r="Y30" i="33" s="1"/>
  <c r="Z29" i="33"/>
  <c r="Y29" i="33" s="1"/>
  <c r="Z28" i="33"/>
  <c r="Z27" i="33"/>
  <c r="M27" i="33"/>
  <c r="I27" i="33"/>
  <c r="E27" i="33"/>
  <c r="Z26" i="33"/>
  <c r="Y26" i="33" s="1"/>
  <c r="Z25" i="33"/>
  <c r="Y25" i="33" s="1"/>
  <c r="Z24" i="33"/>
  <c r="Y24" i="33"/>
  <c r="Z23" i="33"/>
  <c r="R22" i="33"/>
  <c r="Q22" i="33"/>
  <c r="Z21" i="33"/>
  <c r="Y21" i="33" s="1"/>
  <c r="Z20" i="33"/>
  <c r="Y20" i="33" s="1"/>
  <c r="Z19" i="33"/>
  <c r="Y19" i="33" s="1"/>
  <c r="Z18" i="33"/>
  <c r="R17" i="33"/>
  <c r="Q17" i="33"/>
  <c r="Z16" i="33"/>
  <c r="Y16" i="33" s="1"/>
  <c r="Z15" i="33"/>
  <c r="Y15" i="33" s="1"/>
  <c r="Z14" i="33"/>
  <c r="Y14" i="33"/>
  <c r="DM18" i="17"/>
  <c r="M30" i="33" s="1"/>
  <c r="DL18" i="17"/>
  <c r="I30" i="33" s="1"/>
  <c r="DK18" i="17"/>
  <c r="DM5" i="17"/>
  <c r="M26" i="33" s="1"/>
  <c r="DL5" i="17"/>
  <c r="I26" i="33" s="1"/>
  <c r="DK5" i="17"/>
  <c r="DM7" i="17"/>
  <c r="M16" i="33" s="1"/>
  <c r="DL7" i="17"/>
  <c r="DK7" i="17"/>
  <c r="J26" i="11" l="1"/>
  <c r="H26" i="11"/>
  <c r="E26" i="33"/>
  <c r="Q26" i="33" s="1"/>
  <c r="E16" i="33"/>
  <c r="E18" i="33" s="1"/>
  <c r="I16" i="33"/>
  <c r="I18" i="33" s="1"/>
  <c r="E30" i="33"/>
  <c r="Q30" i="33" s="1"/>
  <c r="M33" i="33"/>
  <c r="I33" i="33"/>
  <c r="W27" i="33"/>
  <c r="R35" i="33"/>
  <c r="X35" i="33" s="1"/>
  <c r="W29" i="33"/>
  <c r="Q24" i="33"/>
  <c r="R21" i="33"/>
  <c r="X21" i="33" s="1"/>
  <c r="Q20" i="33"/>
  <c r="Q15" i="33"/>
  <c r="W34" i="33"/>
  <c r="Q32" i="33"/>
  <c r="R32" i="33" s="1"/>
  <c r="R24" i="33"/>
  <c r="W21" i="33"/>
  <c r="M38" i="33"/>
  <c r="Q35" i="33"/>
  <c r="E38" i="33"/>
  <c r="Q34" i="33"/>
  <c r="R34" i="33"/>
  <c r="M28" i="33"/>
  <c r="Q25" i="33"/>
  <c r="Q21" i="33"/>
  <c r="M23" i="33"/>
  <c r="E23" i="33"/>
  <c r="I23" i="33"/>
  <c r="M18" i="33"/>
  <c r="X31" i="33"/>
  <c r="W14" i="33"/>
  <c r="R15" i="33"/>
  <c r="W19" i="33"/>
  <c r="R20" i="33"/>
  <c r="W24" i="33"/>
  <c r="R25" i="33"/>
  <c r="W35" i="33"/>
  <c r="R36" i="33"/>
  <c r="Q29" i="33"/>
  <c r="I38" i="33"/>
  <c r="W15" i="33"/>
  <c r="W20" i="33"/>
  <c r="W25" i="33"/>
  <c r="Q14" i="33"/>
  <c r="Q19" i="33"/>
  <c r="Q27" i="33"/>
  <c r="R27" i="33" s="1"/>
  <c r="I28" i="33"/>
  <c r="R29" i="33"/>
  <c r="R14" i="33"/>
  <c r="R19" i="33"/>
  <c r="N25" i="14"/>
  <c r="N16" i="14"/>
  <c r="N29" i="14"/>
  <c r="N28" i="14"/>
  <c r="N30" i="14"/>
  <c r="N18" i="14"/>
  <c r="N23" i="14"/>
  <c r="N14" i="14"/>
  <c r="N17" i="14"/>
  <c r="N24" i="14"/>
  <c r="N15" i="14"/>
  <c r="N13" i="14"/>
  <c r="I29" i="30"/>
  <c r="I25" i="30"/>
  <c r="I24" i="30"/>
  <c r="I20" i="30"/>
  <c r="I19" i="30"/>
  <c r="M29" i="30"/>
  <c r="M25" i="30"/>
  <c r="M24" i="30"/>
  <c r="M20" i="30"/>
  <c r="M19" i="30"/>
  <c r="M14" i="30"/>
  <c r="M15" i="30"/>
  <c r="I15" i="30"/>
  <c r="I14" i="30"/>
  <c r="E29" i="30"/>
  <c r="E25" i="30"/>
  <c r="E24" i="30"/>
  <c r="E20" i="30"/>
  <c r="E19" i="30"/>
  <c r="E15" i="30"/>
  <c r="E14" i="30"/>
  <c r="Y14" i="31"/>
  <c r="M35" i="31"/>
  <c r="M34" i="31"/>
  <c r="M29" i="31"/>
  <c r="M26" i="31"/>
  <c r="M25" i="31"/>
  <c r="M24" i="31"/>
  <c r="M21" i="31"/>
  <c r="M20" i="31"/>
  <c r="M19" i="31"/>
  <c r="M15" i="31"/>
  <c r="M14" i="31"/>
  <c r="I14" i="31"/>
  <c r="I35" i="31"/>
  <c r="I34" i="31"/>
  <c r="I29" i="31"/>
  <c r="I26" i="31"/>
  <c r="I25" i="31"/>
  <c r="I24" i="31"/>
  <c r="I21" i="31"/>
  <c r="I20" i="31"/>
  <c r="I19" i="31"/>
  <c r="I15" i="31"/>
  <c r="E35" i="31"/>
  <c r="E34" i="31"/>
  <c r="E29" i="31"/>
  <c r="E26" i="31"/>
  <c r="E25" i="31"/>
  <c r="E24" i="31"/>
  <c r="E21" i="31"/>
  <c r="E20" i="31"/>
  <c r="E19" i="31"/>
  <c r="E15" i="31"/>
  <c r="E14" i="31"/>
  <c r="I4" i="11"/>
  <c r="G4" i="11"/>
  <c r="I14" i="11"/>
  <c r="G14" i="11"/>
  <c r="I12" i="11"/>
  <c r="G12" i="11"/>
  <c r="I6" i="11"/>
  <c r="G6" i="11"/>
  <c r="I2" i="11"/>
  <c r="G2" i="11"/>
  <c r="G3" i="11"/>
  <c r="I3" i="11"/>
  <c r="E26" i="14"/>
  <c r="E31" i="14"/>
  <c r="E55" i="14"/>
  <c r="E39" i="14"/>
  <c r="E40" i="14"/>
  <c r="E41" i="14"/>
  <c r="E35" i="14"/>
  <c r="E43" i="14"/>
  <c r="E44" i="14"/>
  <c r="E45" i="14"/>
  <c r="D26" i="14"/>
  <c r="D31" i="14"/>
  <c r="D55" i="14"/>
  <c r="D39" i="14"/>
  <c r="D40" i="14"/>
  <c r="D41" i="14"/>
  <c r="D35" i="14"/>
  <c r="D43" i="14"/>
  <c r="D44" i="14"/>
  <c r="D45" i="14"/>
  <c r="EY27" i="17"/>
  <c r="EY40" i="17"/>
  <c r="OM51" i="16"/>
  <c r="ON51" i="16"/>
  <c r="OM30" i="16"/>
  <c r="ON30" i="16"/>
  <c r="OO51" i="16"/>
  <c r="B30" i="16"/>
  <c r="OO30" i="16" s="1"/>
  <c r="B8" i="16"/>
  <c r="B25" i="16"/>
  <c r="B23" i="16"/>
  <c r="B31" i="16"/>
  <c r="B32" i="16"/>
  <c r="B33" i="16"/>
  <c r="B36" i="16"/>
  <c r="B3" i="16"/>
  <c r="EZ40" i="17"/>
  <c r="E28" i="33" l="1"/>
  <c r="AA28" i="33" s="1"/>
  <c r="W26" i="33"/>
  <c r="R26" i="33"/>
  <c r="X26" i="33" s="1"/>
  <c r="Q16" i="33"/>
  <c r="R16" i="33"/>
  <c r="X16" i="33" s="1"/>
  <c r="W16" i="33"/>
  <c r="W30" i="33"/>
  <c r="E33" i="33"/>
  <c r="AA33" i="33" s="1"/>
  <c r="R30" i="33"/>
  <c r="X30" i="33" s="1"/>
  <c r="X24" i="33"/>
  <c r="AA23" i="33"/>
  <c r="Q18" i="33"/>
  <c r="X34" i="33"/>
  <c r="O24" i="33"/>
  <c r="O14" i="33"/>
  <c r="O19" i="33"/>
  <c r="O29" i="33"/>
  <c r="Q23" i="33"/>
  <c r="K24" i="33"/>
  <c r="K34" i="33"/>
  <c r="AA18" i="33"/>
  <c r="O34" i="33"/>
  <c r="X27" i="33"/>
  <c r="K19" i="33"/>
  <c r="X15" i="33"/>
  <c r="AA38" i="33"/>
  <c r="X36" i="33"/>
  <c r="Q38" i="33"/>
  <c r="K29" i="33"/>
  <c r="K14" i="33"/>
  <c r="X19" i="33"/>
  <c r="X14" i="33"/>
  <c r="X25" i="33"/>
  <c r="X20" i="33"/>
  <c r="X29" i="33"/>
  <c r="M42" i="14"/>
  <c r="M14" i="14"/>
  <c r="M54" i="14"/>
  <c r="M23" i="14"/>
  <c r="M33" i="14"/>
  <c r="M25" i="14"/>
  <c r="M18" i="14"/>
  <c r="M29" i="14"/>
  <c r="M56" i="14"/>
  <c r="M38" i="14"/>
  <c r="M13" i="14"/>
  <c r="M37" i="14"/>
  <c r="M15" i="14"/>
  <c r="M30" i="14"/>
  <c r="M50" i="14"/>
  <c r="M24" i="14"/>
  <c r="M53" i="14"/>
  <c r="M59" i="14"/>
  <c r="M17" i="14"/>
  <c r="M28" i="14"/>
  <c r="M16" i="14"/>
  <c r="FA40" i="17"/>
  <c r="E2" i="33" l="1" a="1"/>
  <c r="E2" i="33" s="1"/>
  <c r="D2" i="33" s="1"/>
  <c r="Q28" i="33"/>
  <c r="E3" i="33" a="1"/>
  <c r="E3" i="33" s="1"/>
  <c r="D3" i="33" s="1"/>
  <c r="G34" i="33"/>
  <c r="H34" i="33" s="1"/>
  <c r="G19" i="33"/>
  <c r="H19" i="33" s="1"/>
  <c r="G24" i="33"/>
  <c r="H24" i="33" s="1"/>
  <c r="G14" i="33"/>
  <c r="H14" i="33" s="1"/>
  <c r="G29" i="33"/>
  <c r="H29" i="33" s="1"/>
  <c r="Q33" i="33"/>
  <c r="L19" i="33"/>
  <c r="L29" i="33"/>
  <c r="L24" i="33"/>
  <c r="L34" i="33"/>
  <c r="E4" i="33" a="1"/>
  <c r="E4" i="33" s="1"/>
  <c r="D4" i="33" s="1"/>
  <c r="E5" i="33" a="1"/>
  <c r="E5" i="33" s="1"/>
  <c r="D5" i="33" s="1"/>
  <c r="L14" i="33"/>
  <c r="ON20" i="16"/>
  <c r="T29" i="33" l="1"/>
  <c r="T19" i="33"/>
  <c r="S24" i="33"/>
  <c r="P24" i="33" s="1"/>
  <c r="T24" i="33"/>
  <c r="S34" i="33"/>
  <c r="P34" i="33" s="1"/>
  <c r="T34" i="33"/>
  <c r="T14" i="33"/>
  <c r="S19" i="33"/>
  <c r="P19" i="33" s="1"/>
  <c r="S14" i="33"/>
  <c r="P14" i="33" s="1"/>
  <c r="S29" i="33"/>
  <c r="P29" i="33" s="1"/>
  <c r="A25" i="11"/>
  <c r="K25" i="11"/>
  <c r="M30" i="11"/>
  <c r="Y32" i="32" l="1"/>
  <c r="Y33" i="32"/>
  <c r="Y34" i="32"/>
  <c r="Y35" i="32"/>
  <c r="Y36" i="32"/>
  <c r="Y30" i="32"/>
  <c r="Y31" i="32"/>
  <c r="Y29" i="32"/>
  <c r="Y15" i="32"/>
  <c r="Y16" i="32"/>
  <c r="Y19" i="32"/>
  <c r="Y20" i="32"/>
  <c r="Y21" i="32"/>
  <c r="Y24" i="32"/>
  <c r="Y25" i="32"/>
  <c r="Y26" i="32"/>
  <c r="Y27" i="32"/>
  <c r="Y14" i="32"/>
  <c r="E16" i="32"/>
  <c r="DH1" i="17"/>
  <c r="DI1" i="17"/>
  <c r="DJ1" i="17"/>
  <c r="Z27" i="32"/>
  <c r="Z38" i="32"/>
  <c r="Q37" i="32"/>
  <c r="R37" i="32" s="1"/>
  <c r="Z36" i="32"/>
  <c r="M36" i="32"/>
  <c r="I36" i="32"/>
  <c r="E36" i="32"/>
  <c r="Z35" i="32"/>
  <c r="M35" i="32"/>
  <c r="I35" i="32"/>
  <c r="E35" i="32"/>
  <c r="Z34" i="32"/>
  <c r="M34" i="32"/>
  <c r="I34" i="32"/>
  <c r="E34" i="32"/>
  <c r="Z33" i="32"/>
  <c r="M32" i="32"/>
  <c r="Q32" i="32" s="1"/>
  <c r="R32" i="32" s="1"/>
  <c r="Z31" i="32"/>
  <c r="Q31" i="32"/>
  <c r="R31" i="32" s="1"/>
  <c r="X31" i="32" s="1"/>
  <c r="Z30" i="32"/>
  <c r="M30" i="32"/>
  <c r="I30" i="32"/>
  <c r="E30" i="32"/>
  <c r="Z29" i="32"/>
  <c r="M29" i="32"/>
  <c r="I29" i="32"/>
  <c r="E29" i="32"/>
  <c r="Z28" i="32"/>
  <c r="Z26" i="32"/>
  <c r="Z25" i="32"/>
  <c r="Z24" i="32"/>
  <c r="Z23" i="32"/>
  <c r="Q22" i="32"/>
  <c r="R22" i="32" s="1"/>
  <c r="Z21" i="32"/>
  <c r="Z20" i="32"/>
  <c r="Z19" i="32"/>
  <c r="Z18" i="32"/>
  <c r="Q17" i="32"/>
  <c r="R17" i="32" s="1"/>
  <c r="Z16" i="32"/>
  <c r="Z15" i="32"/>
  <c r="Z14" i="32"/>
  <c r="Y35" i="31"/>
  <c r="Y24" i="31"/>
  <c r="EW43" i="17"/>
  <c r="EW22" i="17"/>
  <c r="W27" i="32" l="1"/>
  <c r="W34" i="32"/>
  <c r="Q36" i="32"/>
  <c r="W29" i="32"/>
  <c r="M33" i="32"/>
  <c r="W35" i="32"/>
  <c r="R35" i="32"/>
  <c r="I38" i="32"/>
  <c r="M28" i="32"/>
  <c r="Q27" i="32"/>
  <c r="R27" i="32" s="1"/>
  <c r="I28" i="32"/>
  <c r="W21" i="32"/>
  <c r="W19" i="32"/>
  <c r="W16" i="32"/>
  <c r="R14" i="32"/>
  <c r="R25" i="32"/>
  <c r="E28" i="32"/>
  <c r="Q15" i="32"/>
  <c r="R36" i="32"/>
  <c r="Q35" i="32"/>
  <c r="M38" i="32"/>
  <c r="W30" i="32"/>
  <c r="E33" i="32"/>
  <c r="I33" i="32"/>
  <c r="R29" i="32"/>
  <c r="Q29" i="32"/>
  <c r="W24" i="32"/>
  <c r="R20" i="32"/>
  <c r="I23" i="32"/>
  <c r="M23" i="32"/>
  <c r="M18" i="32"/>
  <c r="I18" i="32"/>
  <c r="W14" i="32"/>
  <c r="R15" i="32"/>
  <c r="Q16" i="32"/>
  <c r="Q21" i="32"/>
  <c r="Q26" i="32"/>
  <c r="R26" i="32"/>
  <c r="Q30" i="32"/>
  <c r="Q34" i="32"/>
  <c r="E38" i="32"/>
  <c r="Q14" i="32"/>
  <c r="E18" i="32"/>
  <c r="Q19" i="32"/>
  <c r="E23" i="32"/>
  <c r="Q24" i="32"/>
  <c r="R30" i="32"/>
  <c r="R34" i="32"/>
  <c r="W36" i="32"/>
  <c r="W15" i="32"/>
  <c r="R16" i="32"/>
  <c r="W20" i="32"/>
  <c r="R21" i="32"/>
  <c r="W25" i="32"/>
  <c r="R19" i="32"/>
  <c r="R24" i="32"/>
  <c r="W26" i="32"/>
  <c r="Q20" i="32"/>
  <c r="Q25" i="32"/>
  <c r="EZ17" i="17"/>
  <c r="EZ45" i="17"/>
  <c r="EZ30" i="17"/>
  <c r="EZ31" i="17"/>
  <c r="EZ34" i="17"/>
  <c r="EZ35" i="17"/>
  <c r="EZ36" i="17"/>
  <c r="EZ39" i="17"/>
  <c r="EZ42" i="17"/>
  <c r="X25" i="32" l="1"/>
  <c r="X14" i="32"/>
  <c r="E2" i="32" a="1"/>
  <c r="E2" i="32" s="1"/>
  <c r="D2" i="32" s="1"/>
  <c r="X36" i="32"/>
  <c r="X27" i="32"/>
  <c r="X35" i="32"/>
  <c r="E3" i="32" a="1"/>
  <c r="E3" i="32" s="1"/>
  <c r="D3" i="32" s="1"/>
  <c r="Q28" i="32"/>
  <c r="X20" i="32"/>
  <c r="AA28" i="32"/>
  <c r="AA33" i="32"/>
  <c r="K14" i="32"/>
  <c r="O19" i="32"/>
  <c r="O34" i="32"/>
  <c r="Q33" i="32"/>
  <c r="X29" i="32"/>
  <c r="K29" i="32"/>
  <c r="K34" i="32"/>
  <c r="K24" i="32"/>
  <c r="O24" i="32"/>
  <c r="O14" i="32"/>
  <c r="K19" i="32"/>
  <c r="O29" i="32"/>
  <c r="X30" i="32"/>
  <c r="Q23" i="32"/>
  <c r="G19" i="32"/>
  <c r="H19" i="32" s="1"/>
  <c r="AA23" i="32"/>
  <c r="X19" i="32"/>
  <c r="X21" i="32"/>
  <c r="X26" i="32"/>
  <c r="X16" i="32"/>
  <c r="X15" i="32"/>
  <c r="G29" i="32"/>
  <c r="H29" i="32" s="1"/>
  <c r="G14" i="32"/>
  <c r="H14" i="32" s="1"/>
  <c r="AA18" i="32"/>
  <c r="Q18" i="32"/>
  <c r="X24" i="32"/>
  <c r="X34" i="32"/>
  <c r="AA38" i="32"/>
  <c r="Q38" i="32"/>
  <c r="G34" i="32"/>
  <c r="H34" i="32" s="1"/>
  <c r="G24" i="32"/>
  <c r="H24" i="32" s="1"/>
  <c r="EY39" i="17"/>
  <c r="EY31" i="17"/>
  <c r="EY42" i="17"/>
  <c r="EY30" i="17"/>
  <c r="EY35" i="17"/>
  <c r="EY34" i="17"/>
  <c r="EY17" i="17"/>
  <c r="EY36" i="17"/>
  <c r="EY45" i="17"/>
  <c r="H25" i="11" l="1"/>
  <c r="J25" i="11"/>
  <c r="EZ47" i="17"/>
  <c r="EY47" i="17"/>
  <c r="S24" i="32"/>
  <c r="P24" i="32" s="1"/>
  <c r="L24" i="32"/>
  <c r="L19" i="32"/>
  <c r="L14" i="32"/>
  <c r="L29" i="32"/>
  <c r="T34" i="32"/>
  <c r="S34" i="32"/>
  <c r="P34" i="32" s="1"/>
  <c r="L34" i="32"/>
  <c r="S19" i="32"/>
  <c r="P19" i="32" s="1"/>
  <c r="T19" i="32"/>
  <c r="S14" i="32"/>
  <c r="P14" i="32" s="1"/>
  <c r="T14" i="32"/>
  <c r="E5" i="32" a="1"/>
  <c r="E5" i="32" s="1"/>
  <c r="D5" i="32" s="1"/>
  <c r="E4" i="32" a="1"/>
  <c r="E4" i="32" s="1"/>
  <c r="D4" i="32" s="1"/>
  <c r="T29" i="32"/>
  <c r="S29" i="32"/>
  <c r="P29" i="32" s="1"/>
  <c r="T24" i="32"/>
  <c r="AA44" i="29"/>
  <c r="Z44" i="29"/>
  <c r="Z42" i="29"/>
  <c r="X42" i="29"/>
  <c r="Z41" i="29"/>
  <c r="X41" i="29"/>
  <c r="Z40" i="29"/>
  <c r="X40" i="29"/>
  <c r="AA39" i="29"/>
  <c r="Z39" i="29"/>
  <c r="Z37" i="29"/>
  <c r="X37" i="29"/>
  <c r="Z36" i="29"/>
  <c r="X36" i="29"/>
  <c r="Z35" i="29"/>
  <c r="X35" i="29"/>
  <c r="Z34" i="29"/>
  <c r="Z33" i="29"/>
  <c r="Z32" i="29"/>
  <c r="Z31" i="29"/>
  <c r="Z30" i="29"/>
  <c r="X30" i="29"/>
  <c r="Z29" i="29"/>
  <c r="X29" i="29"/>
  <c r="Z28" i="29"/>
  <c r="Z27" i="29"/>
  <c r="Z26" i="29"/>
  <c r="Z25" i="29"/>
  <c r="Z24" i="29"/>
  <c r="X24" i="29"/>
  <c r="Z23" i="29"/>
  <c r="Z22" i="29"/>
  <c r="Z21" i="29"/>
  <c r="X21" i="29"/>
  <c r="Z20" i="29"/>
  <c r="Z19" i="29"/>
  <c r="Z18" i="29"/>
  <c r="X18" i="29"/>
  <c r="Z17" i="29"/>
  <c r="X17" i="29"/>
  <c r="Z16" i="29"/>
  <c r="X16" i="29"/>
  <c r="Z15" i="29"/>
  <c r="X15" i="29"/>
  <c r="Z14" i="29"/>
  <c r="X14" i="29"/>
  <c r="Z38" i="30"/>
  <c r="Q37" i="30"/>
  <c r="R37" i="30" s="1"/>
  <c r="Z36" i="30"/>
  <c r="X36" i="30"/>
  <c r="Q36" i="30"/>
  <c r="Z35" i="30"/>
  <c r="X35" i="30"/>
  <c r="Z34" i="30"/>
  <c r="M38" i="30"/>
  <c r="E38" i="30"/>
  <c r="Z33" i="30"/>
  <c r="Q32" i="30"/>
  <c r="R32" i="30" s="1"/>
  <c r="U32" i="30" s="1"/>
  <c r="Z31" i="30"/>
  <c r="X31" i="30"/>
  <c r="Z30" i="30"/>
  <c r="Z29" i="30"/>
  <c r="Z28" i="30"/>
  <c r="Z26" i="30"/>
  <c r="X26" i="30"/>
  <c r="Z25" i="30"/>
  <c r="R25" i="30"/>
  <c r="Z24" i="30"/>
  <c r="Z23" i="30"/>
  <c r="Q22" i="30"/>
  <c r="R22" i="30" s="1"/>
  <c r="U22" i="30" s="1"/>
  <c r="Z21" i="30"/>
  <c r="X21" i="30"/>
  <c r="Z20" i="30"/>
  <c r="R20" i="30"/>
  <c r="U20" i="30" s="1"/>
  <c r="Z19" i="30"/>
  <c r="Z18" i="30"/>
  <c r="Q17" i="30"/>
  <c r="R17" i="30" s="1"/>
  <c r="U17" i="30" s="1"/>
  <c r="Z16" i="30"/>
  <c r="X16" i="30"/>
  <c r="Z15" i="30"/>
  <c r="Z14" i="30"/>
  <c r="Q14" i="30"/>
  <c r="X25" i="30" l="1"/>
  <c r="U25" i="30"/>
  <c r="I38" i="30"/>
  <c r="AA38" i="30" s="1"/>
  <c r="FA47" i="17"/>
  <c r="R14" i="30"/>
  <c r="R19" i="30"/>
  <c r="W25" i="30"/>
  <c r="Q17" i="29"/>
  <c r="Q30" i="29"/>
  <c r="M23" i="30"/>
  <c r="I28" i="30"/>
  <c r="Q26" i="30"/>
  <c r="Q32" i="29"/>
  <c r="Q15" i="29"/>
  <c r="Q22" i="29"/>
  <c r="X23" i="29"/>
  <c r="Q21" i="29"/>
  <c r="R29" i="30"/>
  <c r="U29" i="30" s="1"/>
  <c r="I18" i="30"/>
  <c r="M18" i="30"/>
  <c r="W20" i="30"/>
  <c r="Q31" i="30"/>
  <c r="Q35" i="30"/>
  <c r="Q16" i="30"/>
  <c r="Q25" i="30"/>
  <c r="Q34" i="30"/>
  <c r="Q24" i="29"/>
  <c r="Q23" i="29"/>
  <c r="X28" i="29"/>
  <c r="W15" i="30"/>
  <c r="I23" i="30"/>
  <c r="Q21" i="30"/>
  <c r="E28" i="30"/>
  <c r="Q27" i="30"/>
  <c r="R27" i="30" s="1"/>
  <c r="U27" i="30" s="1"/>
  <c r="Q29" i="30"/>
  <c r="Q16" i="29"/>
  <c r="Q29" i="29"/>
  <c r="E18" i="30"/>
  <c r="M28" i="30"/>
  <c r="X34" i="30"/>
  <c r="Q18" i="29"/>
  <c r="X32" i="29"/>
  <c r="X22" i="29"/>
  <c r="Q28" i="29"/>
  <c r="Q14" i="29"/>
  <c r="X20" i="30"/>
  <c r="Q20" i="30"/>
  <c r="W29" i="30"/>
  <c r="W19" i="30"/>
  <c r="W24" i="30"/>
  <c r="Q15" i="30"/>
  <c r="E23" i="30"/>
  <c r="Q24" i="30"/>
  <c r="R15" i="30"/>
  <c r="U15" i="30" s="1"/>
  <c r="R24" i="30"/>
  <c r="U24" i="30" s="1"/>
  <c r="W14" i="30"/>
  <c r="Q19" i="30"/>
  <c r="X19" i="30" l="1"/>
  <c r="U19" i="30"/>
  <c r="X14" i="30"/>
  <c r="U14" i="30"/>
  <c r="Q38" i="30"/>
  <c r="AA28" i="30"/>
  <c r="Q18" i="30"/>
  <c r="AA18" i="30"/>
  <c r="Q28" i="30"/>
  <c r="X29" i="30"/>
  <c r="Q23" i="30"/>
  <c r="AA23" i="30"/>
  <c r="X24" i="30"/>
  <c r="X15" i="30"/>
  <c r="DG5" i="17" l="1"/>
  <c r="M30" i="31" s="1"/>
  <c r="DF5" i="17"/>
  <c r="I30" i="31" s="1"/>
  <c r="DE5" i="17"/>
  <c r="DG7" i="17"/>
  <c r="M36" i="31" s="1"/>
  <c r="DF7" i="17"/>
  <c r="I36" i="31" s="1"/>
  <c r="DE7" i="17"/>
  <c r="Y36" i="31"/>
  <c r="Y34" i="31"/>
  <c r="Y26" i="31"/>
  <c r="Y21" i="31"/>
  <c r="Y16" i="31"/>
  <c r="Y15" i="31"/>
  <c r="R31" i="31"/>
  <c r="X31" i="31" s="1"/>
  <c r="Q31" i="31"/>
  <c r="Z38" i="31"/>
  <c r="Q37" i="31"/>
  <c r="R37" i="31" s="1"/>
  <c r="Z36" i="31"/>
  <c r="Z35" i="31"/>
  <c r="Z34" i="31"/>
  <c r="Z33" i="31"/>
  <c r="M32" i="31"/>
  <c r="Q32" i="31" s="1"/>
  <c r="R32" i="31" s="1"/>
  <c r="Z31" i="31"/>
  <c r="Z30" i="31"/>
  <c r="Y30" i="31" s="1"/>
  <c r="Z29" i="31"/>
  <c r="Y29" i="31" s="1"/>
  <c r="Z28" i="31"/>
  <c r="M27" i="31"/>
  <c r="I27" i="31"/>
  <c r="E27" i="31"/>
  <c r="Z26" i="31"/>
  <c r="Z25" i="31"/>
  <c r="Y25" i="31" s="1"/>
  <c r="Z24" i="31"/>
  <c r="Z23" i="31"/>
  <c r="Q22" i="31"/>
  <c r="R22" i="31" s="1"/>
  <c r="Z21" i="31"/>
  <c r="Z20" i="31"/>
  <c r="Y20" i="31" s="1"/>
  <c r="Z19" i="31"/>
  <c r="Y19" i="31" s="1"/>
  <c r="Z18" i="31"/>
  <c r="Q17" i="31"/>
  <c r="R17" i="31" s="1"/>
  <c r="Z16" i="31"/>
  <c r="Z15" i="31"/>
  <c r="Z14" i="31"/>
  <c r="DE18" i="17"/>
  <c r="E16" i="31" s="1"/>
  <c r="DG18" i="17"/>
  <c r="M16" i="31" s="1"/>
  <c r="DF18" i="17"/>
  <c r="I16" i="31" s="1"/>
  <c r="EW39" i="17"/>
  <c r="EW31" i="17"/>
  <c r="EW42" i="17"/>
  <c r="EW30" i="17"/>
  <c r="EW35" i="17"/>
  <c r="EW34" i="17"/>
  <c r="EW17" i="17"/>
  <c r="EW36" i="17"/>
  <c r="EW32" i="17"/>
  <c r="DG1" i="17"/>
  <c r="DF1" i="17"/>
  <c r="DE1" i="17"/>
  <c r="K27" i="14" l="1"/>
  <c r="G17" i="11" s="1"/>
  <c r="J27" i="14"/>
  <c r="I17" i="11" s="1"/>
  <c r="J32" i="14"/>
  <c r="I19" i="11" s="1"/>
  <c r="K32" i="14"/>
  <c r="G19" i="11" s="1"/>
  <c r="E36" i="31"/>
  <c r="E30" i="31"/>
  <c r="M23" i="31"/>
  <c r="I28" i="31"/>
  <c r="M28" i="31"/>
  <c r="Q27" i="31"/>
  <c r="R27" i="31" s="1"/>
  <c r="I23" i="31"/>
  <c r="M38" i="31"/>
  <c r="I38" i="31"/>
  <c r="I33" i="31"/>
  <c r="M33" i="3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2" i="11"/>
  <c r="FA1" i="17" l="1"/>
  <c r="EY1" i="17"/>
  <c r="EZ1" i="17"/>
  <c r="EX1" i="17"/>
  <c r="ON41" i="16" l="1"/>
  <c r="ON47" i="16"/>
  <c r="ON46" i="16"/>
  <c r="ON44" i="16"/>
  <c r="ON39" i="16"/>
  <c r="ON48" i="16"/>
  <c r="ON49" i="16"/>
  <c r="ON45" i="16"/>
  <c r="ON37" i="16"/>
  <c r="ON42" i="16"/>
  <c r="ON50" i="16"/>
  <c r="ON43" i="16"/>
  <c r="ON18" i="16"/>
  <c r="ON14" i="16"/>
  <c r="ON17" i="16"/>
  <c r="ON35" i="16"/>
  <c r="ON38" i="16"/>
  <c r="ON19" i="16"/>
  <c r="ON9" i="16"/>
  <c r="ON6" i="16"/>
  <c r="ON21" i="16"/>
  <c r="ON10" i="16"/>
  <c r="ON4" i="16"/>
  <c r="ON22" i="16"/>
  <c r="ON7" i="16"/>
  <c r="ON15" i="16"/>
  <c r="ON28" i="16"/>
  <c r="ON5" i="16"/>
  <c r="ON26" i="16"/>
  <c r="OM41" i="16"/>
  <c r="OM47" i="16"/>
  <c r="OM46" i="16"/>
  <c r="OM44" i="16"/>
  <c r="OM39" i="16"/>
  <c r="OM48" i="16"/>
  <c r="OM49" i="16"/>
  <c r="OM45" i="16"/>
  <c r="OM37" i="16"/>
  <c r="OM42" i="16"/>
  <c r="OM50" i="16"/>
  <c r="OM43" i="16"/>
  <c r="OM18" i="16"/>
  <c r="OM14" i="16"/>
  <c r="OM17" i="16"/>
  <c r="OM35" i="16"/>
  <c r="OM38" i="16"/>
  <c r="OM19" i="16"/>
  <c r="OM9" i="16"/>
  <c r="OM6" i="16"/>
  <c r="OM21" i="16"/>
  <c r="OM10" i="16"/>
  <c r="OM4" i="16"/>
  <c r="OM22" i="16"/>
  <c r="OM20" i="16"/>
  <c r="OM7" i="16"/>
  <c r="OM15" i="16"/>
  <c r="OM28" i="16"/>
  <c r="OM5" i="16"/>
  <c r="OM26" i="16"/>
  <c r="DB1" i="17" l="1"/>
  <c r="DC1" i="17"/>
  <c r="DD1" i="17"/>
  <c r="EU1" i="17"/>
  <c r="DD18" i="17"/>
  <c r="DC18" i="17"/>
  <c r="DB18" i="17"/>
  <c r="K22" i="14" l="1"/>
  <c r="G10" i="11" s="1"/>
  <c r="J22" i="14"/>
  <c r="I10" i="11" s="1"/>
  <c r="E30" i="30"/>
  <c r="E33" i="30" s="1"/>
  <c r="M18" i="31"/>
  <c r="O14" i="31" s="1"/>
  <c r="I30" i="30"/>
  <c r="I33" i="30" s="1"/>
  <c r="I18" i="31"/>
  <c r="K19" i="31" s="1"/>
  <c r="M30" i="30"/>
  <c r="M33" i="30" s="1"/>
  <c r="K27" i="11"/>
  <c r="EV43" i="17"/>
  <c r="EX43" i="17"/>
  <c r="FB43" i="17" s="1"/>
  <c r="K14" i="31" l="1"/>
  <c r="O29" i="31"/>
  <c r="O24" i="31"/>
  <c r="O34" i="31"/>
  <c r="O19" i="31"/>
  <c r="O34" i="30"/>
  <c r="O29" i="30"/>
  <c r="O24" i="30"/>
  <c r="O19" i="30"/>
  <c r="O14" i="30"/>
  <c r="R30" i="30"/>
  <c r="U30" i="30" s="1"/>
  <c r="W30" i="30"/>
  <c r="G34" i="30"/>
  <c r="H34" i="30" s="1"/>
  <c r="AA33" i="30"/>
  <c r="G19" i="30"/>
  <c r="H19" i="30" s="1"/>
  <c r="G29" i="30"/>
  <c r="H29" i="30" s="1"/>
  <c r="G14" i="30"/>
  <c r="H14" i="30" s="1"/>
  <c r="Q33" i="30"/>
  <c r="G24" i="30"/>
  <c r="H24" i="30" s="1"/>
  <c r="K34" i="31"/>
  <c r="K29" i="31"/>
  <c r="Q30" i="30"/>
  <c r="K14" i="30"/>
  <c r="K29" i="30"/>
  <c r="K24" i="30"/>
  <c r="K19" i="30"/>
  <c r="K34" i="30"/>
  <c r="K24" i="31"/>
  <c r="L5" i="14" a="1"/>
  <c r="L5" i="14" s="1"/>
  <c r="L4" i="14" a="1"/>
  <c r="L4" i="14" s="1"/>
  <c r="H27" i="11"/>
  <c r="X30" i="30" l="1"/>
  <c r="T29" i="30"/>
  <c r="S19" i="30"/>
  <c r="P19" i="30" s="1"/>
  <c r="T34" i="30"/>
  <c r="T24" i="30"/>
  <c r="S14" i="30"/>
  <c r="P14" i="30" s="1"/>
  <c r="S24" i="30"/>
  <c r="P24" i="30" s="1"/>
  <c r="S34" i="30"/>
  <c r="P34" i="30" s="1"/>
  <c r="T14" i="30"/>
  <c r="S29" i="30"/>
  <c r="P29" i="30" s="1"/>
  <c r="T19" i="30"/>
  <c r="L29" i="30"/>
  <c r="L19" i="30"/>
  <c r="L34" i="30"/>
  <c r="L14" i="30"/>
  <c r="L24" i="30"/>
  <c r="EZ43" i="17"/>
  <c r="EY43" i="17"/>
  <c r="OO21" i="16"/>
  <c r="E5" i="30" l="1" a="1"/>
  <c r="E5" i="30" s="1"/>
  <c r="D5" i="30" s="1"/>
  <c r="E4" i="30" a="1"/>
  <c r="E4" i="30" s="1"/>
  <c r="D4" i="30" s="1"/>
  <c r="FA43" i="17"/>
  <c r="CY46" i="17"/>
  <c r="M33" i="29" s="1"/>
  <c r="M34" i="29" s="1"/>
  <c r="CX46" i="17"/>
  <c r="I33" i="29" s="1"/>
  <c r="I34" i="29" s="1"/>
  <c r="CW46" i="17"/>
  <c r="E33" i="29" s="1"/>
  <c r="CW28" i="17"/>
  <c r="CY7" i="17"/>
  <c r="M26" i="29" s="1"/>
  <c r="CX7" i="17"/>
  <c r="I26" i="29" s="1"/>
  <c r="CW7" i="17"/>
  <c r="E26" i="29" s="1"/>
  <c r="CY5" i="17"/>
  <c r="M25" i="29" s="1"/>
  <c r="CX5" i="17"/>
  <c r="I25" i="29" s="1"/>
  <c r="CW5" i="17"/>
  <c r="E25" i="29" s="1"/>
  <c r="CY18" i="17"/>
  <c r="M19" i="29" s="1"/>
  <c r="M20" i="29" s="1"/>
  <c r="CX18" i="17"/>
  <c r="I19" i="29" s="1"/>
  <c r="I20" i="29" s="1"/>
  <c r="CW18" i="17"/>
  <c r="I21" i="14" l="1"/>
  <c r="M21" i="14" s="1"/>
  <c r="H21" i="14"/>
  <c r="E31" i="29"/>
  <c r="E34" i="29" s="1"/>
  <c r="N21" i="14"/>
  <c r="I27" i="29"/>
  <c r="K28" i="29" s="1"/>
  <c r="M27" i="29"/>
  <c r="O21" i="29" s="1"/>
  <c r="R33" i="29"/>
  <c r="W33" i="29"/>
  <c r="Q33" i="29"/>
  <c r="R25" i="29"/>
  <c r="X25" i="29" s="1"/>
  <c r="W25" i="29"/>
  <c r="E27" i="29"/>
  <c r="Q25" i="29"/>
  <c r="W26" i="29"/>
  <c r="R26" i="29"/>
  <c r="Q26" i="29"/>
  <c r="E19" i="29"/>
  <c r="EY28" i="17"/>
  <c r="FA31" i="17"/>
  <c r="FA34" i="17"/>
  <c r="FA35" i="17"/>
  <c r="FA17" i="17"/>
  <c r="FA36" i="17"/>
  <c r="FA30" i="17"/>
  <c r="FA39" i="17"/>
  <c r="W31" i="29" l="1"/>
  <c r="R31" i="29"/>
  <c r="Q31" i="29"/>
  <c r="K21" i="29"/>
  <c r="K14" i="29"/>
  <c r="O14" i="29"/>
  <c r="O28" i="29"/>
  <c r="U26" i="29"/>
  <c r="X26" i="29"/>
  <c r="AA27" i="29"/>
  <c r="Q27" i="29"/>
  <c r="Q34" i="29"/>
  <c r="AA34" i="29"/>
  <c r="R19" i="29"/>
  <c r="X19" i="29" s="1"/>
  <c r="W19" i="29"/>
  <c r="Q19" i="29"/>
  <c r="E20" i="29"/>
  <c r="G28" i="29" s="1"/>
  <c r="H28" i="29" s="1"/>
  <c r="U33" i="29"/>
  <c r="X33" i="29"/>
  <c r="U25" i="29"/>
  <c r="Z38" i="28"/>
  <c r="Z36" i="28"/>
  <c r="Z35" i="28"/>
  <c r="Z34" i="28"/>
  <c r="M30" i="28"/>
  <c r="M29" i="28"/>
  <c r="M25" i="28"/>
  <c r="M24" i="28"/>
  <c r="M20" i="28"/>
  <c r="M19" i="28"/>
  <c r="M15" i="28"/>
  <c r="M14" i="28"/>
  <c r="I30" i="28"/>
  <c r="I29" i="28"/>
  <c r="I25" i="28"/>
  <c r="I24" i="28"/>
  <c r="I20" i="28"/>
  <c r="I19" i="28"/>
  <c r="I15" i="28"/>
  <c r="I14" i="28"/>
  <c r="E30" i="28"/>
  <c r="E29" i="28"/>
  <c r="E25" i="28"/>
  <c r="E24" i="28"/>
  <c r="E20" i="28"/>
  <c r="E19" i="28"/>
  <c r="E15" i="28"/>
  <c r="E14" i="28"/>
  <c r="CV5" i="17"/>
  <c r="M35" i="28" s="1"/>
  <c r="CU5" i="17"/>
  <c r="I35" i="28" s="1"/>
  <c r="CT5" i="17"/>
  <c r="Q37" i="28"/>
  <c r="R37" i="28" s="1"/>
  <c r="Q36" i="28"/>
  <c r="Z33" i="28"/>
  <c r="M32" i="28"/>
  <c r="Z31" i="28"/>
  <c r="M31" i="28"/>
  <c r="I31" i="28"/>
  <c r="E31" i="28"/>
  <c r="Z30" i="28"/>
  <c r="Z29" i="28"/>
  <c r="Z28" i="28"/>
  <c r="M27" i="28"/>
  <c r="I27" i="28"/>
  <c r="E27" i="28"/>
  <c r="Z26" i="28"/>
  <c r="M26" i="28"/>
  <c r="I26" i="28"/>
  <c r="E26" i="28"/>
  <c r="Z25" i="28"/>
  <c r="Z24" i="28"/>
  <c r="Z23" i="28"/>
  <c r="Q22" i="28"/>
  <c r="R22" i="28" s="1"/>
  <c r="Z21" i="28"/>
  <c r="M21" i="28"/>
  <c r="I21" i="28"/>
  <c r="E21" i="28"/>
  <c r="Z20" i="28"/>
  <c r="Z19" i="28"/>
  <c r="Z18" i="28"/>
  <c r="Q17" i="28"/>
  <c r="R17" i="28" s="1"/>
  <c r="Z16" i="28"/>
  <c r="M16" i="28"/>
  <c r="I16" i="28"/>
  <c r="E16" i="28"/>
  <c r="Z15" i="28"/>
  <c r="Z14" i="28"/>
  <c r="W27" i="28" l="1"/>
  <c r="U31" i="29"/>
  <c r="X31" i="29"/>
  <c r="W31" i="28"/>
  <c r="U19" i="29"/>
  <c r="AA20" i="29"/>
  <c r="L14" i="29" s="1"/>
  <c r="G14" i="29"/>
  <c r="H14" i="29" s="1"/>
  <c r="Q20" i="29"/>
  <c r="T21" i="29" s="1"/>
  <c r="G21" i="29"/>
  <c r="H21" i="29" s="1"/>
  <c r="W34" i="30" a="1"/>
  <c r="W34" i="30" s="1"/>
  <c r="W41" i="29" a="1"/>
  <c r="W41" i="29" s="1"/>
  <c r="W35" i="29" a="1"/>
  <c r="W35" i="29" s="1"/>
  <c r="W35" i="30" a="1"/>
  <c r="W35" i="30" s="1"/>
  <c r="W40" i="29" a="1"/>
  <c r="W40" i="29" s="1"/>
  <c r="W36" i="29" a="1"/>
  <c r="W36" i="29" s="1"/>
  <c r="E3" i="29" a="1"/>
  <c r="E3" i="29" s="1"/>
  <c r="D3" i="29" s="1"/>
  <c r="E2" i="29" a="1"/>
  <c r="E2" i="29" s="1"/>
  <c r="D2" i="29" s="1"/>
  <c r="E5" i="29" a="1"/>
  <c r="E5" i="29" s="1"/>
  <c r="D5" i="29" s="1"/>
  <c r="E4" i="29" a="1"/>
  <c r="E4" i="29" s="1"/>
  <c r="D4" i="29" s="1"/>
  <c r="W21" i="28"/>
  <c r="W20" i="28"/>
  <c r="R20" i="28"/>
  <c r="W24" i="28"/>
  <c r="R24" i="28"/>
  <c r="R29" i="28"/>
  <c r="W29" i="28"/>
  <c r="W30" i="28"/>
  <c r="R30" i="28"/>
  <c r="R14" i="28"/>
  <c r="W14" i="28"/>
  <c r="Q32" i="28"/>
  <c r="R32" i="28" s="1"/>
  <c r="W32" i="28"/>
  <c r="W15" i="28"/>
  <c r="R15" i="28"/>
  <c r="R25" i="28"/>
  <c r="W25" i="28"/>
  <c r="W19" i="28"/>
  <c r="R19" i="28"/>
  <c r="W16" i="28"/>
  <c r="W26" i="28"/>
  <c r="FA42" i="17"/>
  <c r="E35" i="28"/>
  <c r="Q27" i="28"/>
  <c r="R27" i="28" s="1"/>
  <c r="I38" i="28"/>
  <c r="M38" i="28"/>
  <c r="E3" i="28" a="1"/>
  <c r="E3" i="28" s="1"/>
  <c r="E2" i="28" a="1"/>
  <c r="E2" i="28" s="1"/>
  <c r="Q20" i="28"/>
  <c r="Q26" i="28"/>
  <c r="Q21" i="28"/>
  <c r="E33" i="28"/>
  <c r="Q16" i="28"/>
  <c r="Q34" i="28"/>
  <c r="I33" i="28"/>
  <c r="Q31" i="28"/>
  <c r="M33" i="28"/>
  <c r="Q30" i="28"/>
  <c r="M28" i="28"/>
  <c r="E28" i="28"/>
  <c r="Q25" i="28"/>
  <c r="Q24" i="28"/>
  <c r="E23" i="28"/>
  <c r="I23" i="28"/>
  <c r="M23" i="28"/>
  <c r="I18" i="28"/>
  <c r="Q15" i="28"/>
  <c r="E18" i="28"/>
  <c r="M18" i="28"/>
  <c r="Q29" i="28"/>
  <c r="I28" i="28"/>
  <c r="Q19" i="28"/>
  <c r="Q14" i="28"/>
  <c r="S21" i="29" l="1"/>
  <c r="P21" i="29" s="1"/>
  <c r="S14" i="29"/>
  <c r="P14" i="29" s="1"/>
  <c r="T14" i="29"/>
  <c r="T28" i="29"/>
  <c r="L21" i="29"/>
  <c r="S28" i="29"/>
  <c r="P28" i="29" s="1"/>
  <c r="L28" i="29"/>
  <c r="Q35" i="28"/>
  <c r="W35" i="28"/>
  <c r="R35" i="28"/>
  <c r="E38" i="28"/>
  <c r="Q38" i="28" s="1"/>
  <c r="O34" i="28"/>
  <c r="K34" i="28"/>
  <c r="AA33" i="28"/>
  <c r="AA23" i="28"/>
  <c r="AA18" i="28"/>
  <c r="Q18" i="28"/>
  <c r="Q33" i="28"/>
  <c r="Q23" i="28"/>
  <c r="Q28" i="28"/>
  <c r="AA28" i="28"/>
  <c r="W31" i="27" a="1"/>
  <c r="W31" i="27" s="1"/>
  <c r="W30" i="27" a="1"/>
  <c r="W30" i="27" s="1"/>
  <c r="W26" i="27" a="1"/>
  <c r="W26" i="27" s="1"/>
  <c r="W25" i="27" a="1"/>
  <c r="W25" i="27" s="1"/>
  <c r="W21" i="27" a="1"/>
  <c r="W21" i="27" s="1"/>
  <c r="W20" i="27" a="1"/>
  <c r="W20" i="27" s="1"/>
  <c r="W16" i="27" a="1"/>
  <c r="W16" i="27" s="1"/>
  <c r="W15" i="27" a="1"/>
  <c r="W15" i="27" s="1"/>
  <c r="E2" i="27" a="1"/>
  <c r="E2" i="27" s="1"/>
  <c r="M31" i="27"/>
  <c r="M30" i="27"/>
  <c r="M26" i="27"/>
  <c r="M21" i="27"/>
  <c r="M20" i="27"/>
  <c r="M15" i="27"/>
  <c r="I31" i="27"/>
  <c r="I30" i="27"/>
  <c r="I26" i="27"/>
  <c r="I21" i="27"/>
  <c r="I20" i="27"/>
  <c r="I15" i="27"/>
  <c r="E31" i="27"/>
  <c r="E30" i="27"/>
  <c r="E26" i="27"/>
  <c r="E21" i="27"/>
  <c r="E20" i="27"/>
  <c r="E15" i="27"/>
  <c r="Q38" i="27"/>
  <c r="R38" i="27" s="1"/>
  <c r="Q37" i="27"/>
  <c r="R37" i="27" s="1"/>
  <c r="M36" i="27"/>
  <c r="I36" i="27"/>
  <c r="E36" i="27"/>
  <c r="M35" i="27"/>
  <c r="I35" i="27"/>
  <c r="E35" i="27"/>
  <c r="Z34" i="27"/>
  <c r="M33" i="27"/>
  <c r="Q33" i="27" s="1"/>
  <c r="R33" i="27" s="1"/>
  <c r="Z32" i="27"/>
  <c r="X32" i="27"/>
  <c r="M32" i="27"/>
  <c r="I32" i="27"/>
  <c r="E32" i="27"/>
  <c r="Z31" i="27"/>
  <c r="Z30" i="27"/>
  <c r="Z29" i="27"/>
  <c r="M28" i="27"/>
  <c r="I28" i="27"/>
  <c r="E28" i="27"/>
  <c r="Z27" i="27"/>
  <c r="X27" i="27"/>
  <c r="M27" i="27"/>
  <c r="I27" i="27"/>
  <c r="E27" i="27"/>
  <c r="Z26" i="27"/>
  <c r="Z25" i="27"/>
  <c r="Z24" i="27"/>
  <c r="Q23" i="27"/>
  <c r="R23" i="27" s="1"/>
  <c r="Z22" i="27"/>
  <c r="X22" i="27"/>
  <c r="M22" i="27"/>
  <c r="I22" i="27"/>
  <c r="E22" i="27"/>
  <c r="Z21" i="27"/>
  <c r="Z20" i="27"/>
  <c r="Z19" i="27"/>
  <c r="Q18" i="27"/>
  <c r="R18" i="27" s="1"/>
  <c r="Z17" i="27"/>
  <c r="X17" i="27"/>
  <c r="M17" i="27"/>
  <c r="I17" i="27"/>
  <c r="E17" i="27"/>
  <c r="Z16" i="27"/>
  <c r="X16" i="27"/>
  <c r="Z15" i="27"/>
  <c r="R21" i="27" l="1"/>
  <c r="R20" i="27"/>
  <c r="R26" i="27"/>
  <c r="R30" i="27"/>
  <c r="R31" i="27"/>
  <c r="R15" i="27"/>
  <c r="AA38" i="28"/>
  <c r="L34" i="28" s="1"/>
  <c r="G34" i="28"/>
  <c r="H34" i="28" s="1"/>
  <c r="T34" i="28"/>
  <c r="S34" i="28"/>
  <c r="P34" i="28" s="1"/>
  <c r="I19" i="27"/>
  <c r="Q35" i="27"/>
  <c r="R35" i="27" s="1"/>
  <c r="I39" i="27"/>
  <c r="M39" i="27"/>
  <c r="Q28" i="27"/>
  <c r="R28" i="27" s="1"/>
  <c r="Q36" i="27"/>
  <c r="R36" i="27" s="1"/>
  <c r="Q31" i="27"/>
  <c r="E34" i="27"/>
  <c r="Q26" i="27"/>
  <c r="Q25" i="27"/>
  <c r="Q21" i="27"/>
  <c r="E24" i="27"/>
  <c r="Q16" i="27"/>
  <c r="E19" i="27"/>
  <c r="I34" i="27"/>
  <c r="M34" i="27"/>
  <c r="Q32" i="27"/>
  <c r="Q27" i="27"/>
  <c r="M29" i="27"/>
  <c r="E29" i="27"/>
  <c r="Q22" i="27"/>
  <c r="I24" i="27"/>
  <c r="M24" i="27"/>
  <c r="M19" i="27"/>
  <c r="Q17" i="27"/>
  <c r="Q30" i="27"/>
  <c r="I29" i="27"/>
  <c r="E39" i="27"/>
  <c r="Q15" i="27"/>
  <c r="Q20" i="27"/>
  <c r="L14" i="28" l="1"/>
  <c r="L29" i="28"/>
  <c r="L19" i="28"/>
  <c r="L24" i="28"/>
  <c r="Q39" i="27"/>
  <c r="AA34" i="27"/>
  <c r="AA19" i="27"/>
  <c r="AA24" i="27"/>
  <c r="G20" i="27"/>
  <c r="H20" i="27" s="1"/>
  <c r="Q34" i="27"/>
  <c r="G25" i="27"/>
  <c r="H25" i="27" s="1"/>
  <c r="G15" i="27"/>
  <c r="H15" i="27" s="1"/>
  <c r="Q19" i="27"/>
  <c r="O30" i="27"/>
  <c r="O25" i="27"/>
  <c r="O15" i="27"/>
  <c r="Q24" i="27"/>
  <c r="K25" i="27"/>
  <c r="O20" i="27"/>
  <c r="AA29" i="27"/>
  <c r="K15" i="27"/>
  <c r="G30" i="27"/>
  <c r="H30" i="27" s="1"/>
  <c r="K30" i="27"/>
  <c r="K20" i="27"/>
  <c r="Q29" i="27"/>
  <c r="Z15" i="25"/>
  <c r="Z16" i="25"/>
  <c r="Z17" i="25"/>
  <c r="Z19" i="25"/>
  <c r="Z20" i="25"/>
  <c r="Z21" i="25"/>
  <c r="Z22" i="25"/>
  <c r="Z24" i="25"/>
  <c r="Z25" i="25"/>
  <c r="Z26" i="25"/>
  <c r="Z27" i="25"/>
  <c r="Z29" i="25"/>
  <c r="Z30" i="25"/>
  <c r="Z31" i="25"/>
  <c r="Z32" i="25"/>
  <c r="Z34" i="25"/>
  <c r="L25" i="27" l="1"/>
  <c r="T15" i="27"/>
  <c r="L30" i="27"/>
  <c r="L20" i="27"/>
  <c r="L15" i="27"/>
  <c r="S15" i="27"/>
  <c r="P15" i="27" s="1"/>
  <c r="S25" i="27"/>
  <c r="P25" i="27" s="1"/>
  <c r="T25" i="27"/>
  <c r="S30" i="27"/>
  <c r="P30" i="27" s="1"/>
  <c r="T30" i="27"/>
  <c r="T20" i="27"/>
  <c r="S20" i="27"/>
  <c r="P20" i="27" s="1"/>
  <c r="EX27" i="17"/>
  <c r="EX4" i="17"/>
  <c r="EX50" i="17"/>
  <c r="EX49" i="17"/>
  <c r="EX48" i="17"/>
  <c r="EX44" i="17"/>
  <c r="EX41" i="17"/>
  <c r="EX45" i="17"/>
  <c r="EX38" i="17"/>
  <c r="EX37" i="17"/>
  <c r="EX22" i="17"/>
  <c r="EX20" i="17"/>
  <c r="EX29" i="17"/>
  <c r="FB29" i="17" s="1"/>
  <c r="EX25" i="17"/>
  <c r="EX18" i="17"/>
  <c r="EX33" i="17"/>
  <c r="EX28" i="17"/>
  <c r="EX7" i="17"/>
  <c r="FB7" i="17" s="1"/>
  <c r="EX23" i="17"/>
  <c r="EX16" i="17"/>
  <c r="FB16" i="17" s="1"/>
  <c r="EX8" i="17"/>
  <c r="EX5" i="17"/>
  <c r="FB5" i="17" s="1"/>
  <c r="EX46" i="17"/>
  <c r="EX15" i="17"/>
  <c r="EX6" i="17"/>
  <c r="EX21" i="17"/>
  <c r="EX9" i="17"/>
  <c r="EX11" i="17"/>
  <c r="EV22" i="17"/>
  <c r="EV29" i="17"/>
  <c r="EV25" i="17"/>
  <c r="EV18" i="17"/>
  <c r="EV33" i="17"/>
  <c r="EV7" i="17"/>
  <c r="EV16" i="17"/>
  <c r="EV8" i="17"/>
  <c r="EV5" i="17"/>
  <c r="EV15" i="17"/>
  <c r="EV6" i="17"/>
  <c r="EV21" i="17"/>
  <c r="EV11" i="17"/>
  <c r="EV4" i="17"/>
  <c r="EV27" i="17"/>
  <c r="FA45" i="17" l="1"/>
  <c r="X20" i="25"/>
  <c r="R21" i="28"/>
  <c r="R16" i="28"/>
  <c r="X35" i="28"/>
  <c r="R26" i="28"/>
  <c r="X34" i="28"/>
  <c r="R36" i="28"/>
  <c r="R31" i="28"/>
  <c r="X30" i="27"/>
  <c r="X21" i="27"/>
  <c r="X15" i="27"/>
  <c r="X20" i="27"/>
  <c r="X31" i="27"/>
  <c r="X25" i="27"/>
  <c r="X26" i="27"/>
  <c r="M32" i="25"/>
  <c r="M31" i="25"/>
  <c r="M30" i="25"/>
  <c r="M26" i="25"/>
  <c r="M25" i="25"/>
  <c r="M21" i="25"/>
  <c r="M17" i="25"/>
  <c r="M16" i="25"/>
  <c r="I32" i="25"/>
  <c r="I31" i="25"/>
  <c r="I30" i="25"/>
  <c r="I26" i="25"/>
  <c r="I25" i="25"/>
  <c r="I21" i="25"/>
  <c r="I17" i="25"/>
  <c r="I16" i="25"/>
  <c r="E32" i="25"/>
  <c r="E31" i="25"/>
  <c r="E30" i="25"/>
  <c r="E26" i="25"/>
  <c r="E25" i="25"/>
  <c r="E21" i="25"/>
  <c r="E17" i="25"/>
  <c r="E16" i="25"/>
  <c r="M15" i="25"/>
  <c r="I15" i="25"/>
  <c r="E15" i="25"/>
  <c r="CP46" i="17"/>
  <c r="M27" i="25" s="1"/>
  <c r="CO46" i="17"/>
  <c r="I27" i="25" s="1"/>
  <c r="CN46" i="17"/>
  <c r="E27" i="25" s="1"/>
  <c r="CP5" i="17"/>
  <c r="M22" i="25" s="1"/>
  <c r="CO5" i="17"/>
  <c r="I22" i="25" s="1"/>
  <c r="CN5" i="17"/>
  <c r="Q38" i="25"/>
  <c r="R38" i="25" s="1"/>
  <c r="Q37" i="25"/>
  <c r="R37" i="25" s="1"/>
  <c r="M36" i="25"/>
  <c r="I36" i="25"/>
  <c r="E36" i="25"/>
  <c r="M35" i="25"/>
  <c r="I35" i="25"/>
  <c r="E35" i="25"/>
  <c r="M33" i="25"/>
  <c r="Q33" i="25" s="1"/>
  <c r="R33" i="25" s="1"/>
  <c r="M28" i="25"/>
  <c r="I28" i="25"/>
  <c r="E28" i="25"/>
  <c r="Q23" i="25"/>
  <c r="R23" i="25" s="1"/>
  <c r="Q18" i="25"/>
  <c r="R18" i="25" s="1"/>
  <c r="R31" i="25" l="1"/>
  <c r="X31" i="25" s="1"/>
  <c r="R25" i="25"/>
  <c r="X25" i="25" s="1"/>
  <c r="R21" i="25"/>
  <c r="X21" i="25" s="1"/>
  <c r="R16" i="25"/>
  <c r="X16" i="25" s="1"/>
  <c r="R32" i="25"/>
  <c r="X32" i="25" s="1"/>
  <c r="R17" i="25"/>
  <c r="X17" i="25" s="1"/>
  <c r="R26" i="25"/>
  <c r="X26" i="25" s="1"/>
  <c r="E4" i="27" a="1"/>
  <c r="E4" i="27" s="1"/>
  <c r="D4" i="27" s="1"/>
  <c r="R15" i="25"/>
  <c r="X15" i="25" s="1"/>
  <c r="W42" i="29" a="1"/>
  <c r="W42" i="29" s="1"/>
  <c r="W36" i="30" a="1"/>
  <c r="W36" i="30" s="1"/>
  <c r="W37" i="29" a="1"/>
  <c r="W37" i="29" s="1"/>
  <c r="R30" i="25"/>
  <c r="X30" i="25" s="1"/>
  <c r="Q29" i="31"/>
  <c r="Q30" i="31"/>
  <c r="W16" i="31"/>
  <c r="W25" i="31"/>
  <c r="R14" i="31"/>
  <c r="X14" i="31" s="1"/>
  <c r="W35" i="31"/>
  <c r="Q34" i="31"/>
  <c r="R36" i="31"/>
  <c r="X36" i="31" s="1"/>
  <c r="Q26" i="31"/>
  <c r="R21" i="31"/>
  <c r="X21" i="31" s="1"/>
  <c r="Q20" i="31"/>
  <c r="R19" i="31"/>
  <c r="X19" i="31" s="1"/>
  <c r="W15" i="31"/>
  <c r="EZ22" i="17"/>
  <c r="EY22" i="17"/>
  <c r="H7" i="11"/>
  <c r="H12" i="11"/>
  <c r="H24" i="11"/>
  <c r="H29" i="11"/>
  <c r="H6" i="11"/>
  <c r="H20" i="11"/>
  <c r="H14" i="11"/>
  <c r="H5" i="11"/>
  <c r="EZ4" i="17"/>
  <c r="EY4" i="17"/>
  <c r="U14" i="44" s="1"/>
  <c r="H15" i="11"/>
  <c r="H30" i="11"/>
  <c r="R24" i="31"/>
  <c r="X24" i="31" s="1"/>
  <c r="Q24" i="31"/>
  <c r="W24" i="31"/>
  <c r="R25" i="31"/>
  <c r="X25" i="31" s="1"/>
  <c r="H18" i="11"/>
  <c r="H2" i="11"/>
  <c r="EZ50" i="17"/>
  <c r="EY50" i="17"/>
  <c r="EZ49" i="17"/>
  <c r="EY49" i="17"/>
  <c r="H13" i="11"/>
  <c r="H3" i="11"/>
  <c r="H28" i="11"/>
  <c r="J33" i="11"/>
  <c r="J32" i="11"/>
  <c r="H32" i="11"/>
  <c r="H16" i="11"/>
  <c r="H33" i="11"/>
  <c r="H4" i="11"/>
  <c r="X36" i="28"/>
  <c r="X29" i="28"/>
  <c r="X19" i="28"/>
  <c r="X15" i="28"/>
  <c r="X21" i="28"/>
  <c r="X24" i="28"/>
  <c r="X14" i="28"/>
  <c r="X31" i="28"/>
  <c r="E22" i="25"/>
  <c r="W32" i="27" a="1"/>
  <c r="W32" i="27" s="1"/>
  <c r="W17" i="27" a="1"/>
  <c r="W17" i="27" s="1"/>
  <c r="D2" i="27" s="1"/>
  <c r="W22" i="27" a="1"/>
  <c r="W22" i="27" s="1"/>
  <c r="W27" i="27" a="1"/>
  <c r="W27" i="27" s="1"/>
  <c r="X25" i="28"/>
  <c r="X26" i="28"/>
  <c r="X20" i="28"/>
  <c r="X16" i="28"/>
  <c r="X30" i="28"/>
  <c r="W30" i="25" a="1"/>
  <c r="W30" i="25" s="1"/>
  <c r="W25" i="25" a="1"/>
  <c r="W25" i="25" s="1"/>
  <c r="W31" i="25" a="1"/>
  <c r="W31" i="25" s="1"/>
  <c r="W26" i="25" a="1"/>
  <c r="W26" i="25" s="1"/>
  <c r="W20" i="25" a="1"/>
  <c r="W20" i="25" s="1"/>
  <c r="W32" i="25" a="1"/>
  <c r="W32" i="25" s="1"/>
  <c r="W27" i="25" a="1"/>
  <c r="W27" i="25" s="1"/>
  <c r="W22" i="25" a="1"/>
  <c r="W22" i="25" s="1"/>
  <c r="W21" i="25" a="1"/>
  <c r="W21" i="25" s="1"/>
  <c r="W17" i="25" a="1"/>
  <c r="W17" i="25" s="1"/>
  <c r="W16" i="25" a="1"/>
  <c r="W16" i="25" s="1"/>
  <c r="W15" i="25" a="1"/>
  <c r="W15" i="25" s="1"/>
  <c r="M24" i="25"/>
  <c r="M29" i="25"/>
  <c r="I24" i="25"/>
  <c r="Q15" i="25"/>
  <c r="E19" i="25"/>
  <c r="I29" i="25"/>
  <c r="E3" i="25" a="1"/>
  <c r="E3" i="25" s="1"/>
  <c r="E2" i="25" a="1"/>
  <c r="E2" i="25" s="1"/>
  <c r="I39" i="25"/>
  <c r="Q25" i="25"/>
  <c r="I34" i="25"/>
  <c r="M39" i="25"/>
  <c r="Q16" i="25"/>
  <c r="Q28" i="25"/>
  <c r="R28" i="25" s="1"/>
  <c r="M34" i="25"/>
  <c r="Q26" i="25"/>
  <c r="Q20" i="25"/>
  <c r="Q21" i="25"/>
  <c r="Q30" i="25"/>
  <c r="Q35" i="25"/>
  <c r="R35" i="25" s="1"/>
  <c r="E39" i="25"/>
  <c r="Q31" i="25"/>
  <c r="Q36" i="25"/>
  <c r="R36" i="25" s="1"/>
  <c r="Q32" i="25"/>
  <c r="E34" i="25"/>
  <c r="D2" i="25" l="1"/>
  <c r="D3" i="25"/>
  <c r="E4" i="28" a="1"/>
  <c r="E4" i="28" s="1"/>
  <c r="D4" i="28" s="1"/>
  <c r="E5" i="28" a="1"/>
  <c r="E5" i="28" s="1"/>
  <c r="D5" i="28" s="1"/>
  <c r="E2" i="30" a="1"/>
  <c r="E2" i="30" s="1"/>
  <c r="D2" i="30" s="1"/>
  <c r="E3" i="30" a="1"/>
  <c r="E3" i="30" s="1"/>
  <c r="D3" i="30" s="1"/>
  <c r="E29" i="25"/>
  <c r="R27" i="25"/>
  <c r="X27" i="25" s="1"/>
  <c r="E24" i="25"/>
  <c r="R22" i="25"/>
  <c r="X22" i="25" s="1"/>
  <c r="FA22" i="17"/>
  <c r="R35" i="31"/>
  <c r="X35" i="31" s="1"/>
  <c r="Q16" i="31"/>
  <c r="Q21" i="31"/>
  <c r="W30" i="31"/>
  <c r="Q36" i="31"/>
  <c r="E33" i="31"/>
  <c r="AA33" i="31" s="1"/>
  <c r="Q19" i="31"/>
  <c r="W36" i="31"/>
  <c r="W19" i="31"/>
  <c r="Q35" i="31"/>
  <c r="R30" i="31"/>
  <c r="X30" i="31" s="1"/>
  <c r="W29" i="31"/>
  <c r="R29" i="31"/>
  <c r="X29" i="31" s="1"/>
  <c r="W21" i="31"/>
  <c r="FA49" i="17"/>
  <c r="Q25" i="31"/>
  <c r="E28" i="31"/>
  <c r="AA28" i="31" s="1"/>
  <c r="R15" i="31"/>
  <c r="X15" i="31" s="1"/>
  <c r="W26" i="31"/>
  <c r="Q14" i="31"/>
  <c r="Q15" i="31"/>
  <c r="R26" i="31"/>
  <c r="X26" i="31" s="1"/>
  <c r="W14" i="31"/>
  <c r="H9" i="11"/>
  <c r="E38" i="31"/>
  <c r="AA38" i="31" s="1"/>
  <c r="E23" i="31"/>
  <c r="AA23" i="31" s="1"/>
  <c r="FA50" i="17"/>
  <c r="E18" i="31"/>
  <c r="Q18" i="31" s="1"/>
  <c r="R34" i="31"/>
  <c r="X34" i="31" s="1"/>
  <c r="W20" i="31"/>
  <c r="W34" i="31"/>
  <c r="R16" i="31"/>
  <c r="X16" i="31" s="1"/>
  <c r="R20" i="31"/>
  <c r="X20" i="31" s="1"/>
  <c r="EZ41" i="17"/>
  <c r="EY41" i="17"/>
  <c r="EZ27" i="17"/>
  <c r="EZ6" i="17"/>
  <c r="EY6" i="17"/>
  <c r="U19" i="44" s="1"/>
  <c r="EZ11" i="17"/>
  <c r="EY11" i="17"/>
  <c r="U30" i="44" s="1"/>
  <c r="EZ21" i="17"/>
  <c r="EY21" i="17"/>
  <c r="EZ20" i="17"/>
  <c r="EY20" i="17"/>
  <c r="EZ33" i="17"/>
  <c r="EY33" i="17"/>
  <c r="EZ25" i="17"/>
  <c r="EY25" i="17"/>
  <c r="EZ9" i="17"/>
  <c r="EY9" i="17"/>
  <c r="U29" i="44" s="1"/>
  <c r="EZ28" i="17"/>
  <c r="EZ15" i="17"/>
  <c r="EY15" i="17"/>
  <c r="EZ44" i="17"/>
  <c r="EY44" i="17"/>
  <c r="EZ37" i="17"/>
  <c r="EY37" i="17"/>
  <c r="EZ16" i="17"/>
  <c r="EY16" i="17"/>
  <c r="EZ23" i="17"/>
  <c r="EY23" i="17"/>
  <c r="EZ29" i="17"/>
  <c r="EY29" i="17"/>
  <c r="FA4" i="17"/>
  <c r="D2" i="28"/>
  <c r="D3" i="28"/>
  <c r="AA34" i="25"/>
  <c r="Q39" i="25"/>
  <c r="Q34" i="25"/>
  <c r="FA41" i="17" l="1"/>
  <c r="E5" i="25" a="1"/>
  <c r="E5" i="25" s="1"/>
  <c r="D5" i="25" s="1"/>
  <c r="E4" i="25" a="1"/>
  <c r="E4" i="25" s="1"/>
  <c r="D4" i="25" s="1"/>
  <c r="E2" i="31" a="1"/>
  <c r="E2" i="31" s="1"/>
  <c r="D2" i="31" s="1"/>
  <c r="E5" i="31" a="1"/>
  <c r="E5" i="31" s="1"/>
  <c r="D5" i="31" s="1"/>
  <c r="E4" i="31" a="1"/>
  <c r="E4" i="31" s="1"/>
  <c r="D4" i="31" s="1"/>
  <c r="Q23" i="31"/>
  <c r="Q33" i="31"/>
  <c r="AA18" i="31"/>
  <c r="L19" i="31" s="1"/>
  <c r="Q38" i="31"/>
  <c r="FA29" i="17"/>
  <c r="G14" i="31"/>
  <c r="H14" i="31" s="1"/>
  <c r="Q28" i="31"/>
  <c r="FA44" i="17"/>
  <c r="E3" i="31" a="1"/>
  <c r="E3" i="31" s="1"/>
  <c r="D3" i="31" s="1"/>
  <c r="G19" i="31"/>
  <c r="H19" i="31" s="1"/>
  <c r="FA15" i="17"/>
  <c r="G24" i="31"/>
  <c r="H24" i="31" s="1"/>
  <c r="G29" i="31"/>
  <c r="H29" i="31" s="1"/>
  <c r="FA21" i="17"/>
  <c r="G34" i="31"/>
  <c r="H34" i="31" s="1"/>
  <c r="FA9" i="17"/>
  <c r="FA16" i="17"/>
  <c r="FA33" i="17"/>
  <c r="FA6" i="17"/>
  <c r="FA37" i="17"/>
  <c r="FA20" i="17"/>
  <c r="FA27" i="17"/>
  <c r="FA23" i="17"/>
  <c r="FA28" i="17"/>
  <c r="FA25" i="17"/>
  <c r="FA11" i="17"/>
  <c r="K7" i="11"/>
  <c r="K14" i="11"/>
  <c r="K12" i="11"/>
  <c r="K4" i="11"/>
  <c r="K28" i="11"/>
  <c r="K5" i="11"/>
  <c r="K13" i="11"/>
  <c r="K6" i="11"/>
  <c r="K16" i="11"/>
  <c r="K5" i="14" s="1"/>
  <c r="K11" i="11"/>
  <c r="K9" i="11"/>
  <c r="K18" i="11"/>
  <c r="K15" i="11"/>
  <c r="K20" i="11"/>
  <c r="K10" i="11"/>
  <c r="K30" i="11"/>
  <c r="K29" i="11"/>
  <c r="K17" i="11"/>
  <c r="K19" i="11"/>
  <c r="K31" i="11"/>
  <c r="K34" i="11"/>
  <c r="K2" i="11"/>
  <c r="K4" i="14" s="1"/>
  <c r="K36" i="11"/>
  <c r="K24" i="11"/>
  <c r="K33" i="11"/>
  <c r="K32" i="11"/>
  <c r="K3" i="11"/>
  <c r="A7" i="11"/>
  <c r="A14" i="11"/>
  <c r="A12" i="11"/>
  <c r="A4" i="11"/>
  <c r="A28" i="11"/>
  <c r="A5" i="11"/>
  <c r="A13" i="11"/>
  <c r="A6" i="11"/>
  <c r="A16" i="11"/>
  <c r="A11" i="11"/>
  <c r="A9" i="11"/>
  <c r="A18" i="11"/>
  <c r="A15" i="11"/>
  <c r="A20" i="11"/>
  <c r="A10" i="11"/>
  <c r="A30" i="11"/>
  <c r="A29" i="11"/>
  <c r="A31" i="11"/>
  <c r="A34" i="11"/>
  <c r="A2" i="11"/>
  <c r="A24" i="11"/>
  <c r="A33" i="11"/>
  <c r="A32" i="11"/>
  <c r="A19" i="11"/>
  <c r="A17" i="11"/>
  <c r="L29" i="31" l="1"/>
  <c r="L24" i="31"/>
  <c r="L14" i="31"/>
  <c r="T19" i="31"/>
  <c r="T29" i="31"/>
  <c r="S24" i="31"/>
  <c r="P24" i="31" s="1"/>
  <c r="T34" i="31"/>
  <c r="L34" i="31"/>
  <c r="S14" i="31"/>
  <c r="P14" i="31" s="1"/>
  <c r="T24" i="31"/>
  <c r="T14" i="31"/>
  <c r="S29" i="31"/>
  <c r="P29" i="31" s="1"/>
  <c r="S19" i="31"/>
  <c r="P19" i="31" s="1"/>
  <c r="S34" i="31"/>
  <c r="P34" i="31" s="1"/>
  <c r="V22" i="24"/>
  <c r="K36" i="24"/>
  <c r="K35" i="24"/>
  <c r="K32" i="24"/>
  <c r="K31" i="24"/>
  <c r="K30" i="24"/>
  <c r="K26" i="24"/>
  <c r="K25" i="24"/>
  <c r="K21" i="24"/>
  <c r="K20" i="24"/>
  <c r="K16" i="24"/>
  <c r="N37" i="24"/>
  <c r="O37" i="24" s="1"/>
  <c r="H36" i="24"/>
  <c r="H35" i="24"/>
  <c r="H32" i="24"/>
  <c r="H31" i="24"/>
  <c r="H30" i="24"/>
  <c r="H26" i="24"/>
  <c r="H25" i="24"/>
  <c r="H21" i="24"/>
  <c r="H20" i="24"/>
  <c r="H16" i="24"/>
  <c r="E36" i="24"/>
  <c r="E35" i="24"/>
  <c r="E32" i="24"/>
  <c r="E31" i="24"/>
  <c r="E30" i="24"/>
  <c r="E26" i="24"/>
  <c r="E25" i="24"/>
  <c r="E21" i="24"/>
  <c r="E20" i="24"/>
  <c r="E16" i="24"/>
  <c r="K15" i="24"/>
  <c r="H15" i="24"/>
  <c r="E15" i="24"/>
  <c r="V39" i="24"/>
  <c r="N38" i="24"/>
  <c r="O38" i="24" s="1"/>
  <c r="V37" i="24"/>
  <c r="V36" i="24"/>
  <c r="V35" i="24"/>
  <c r="S35" i="24"/>
  <c r="V34" i="24"/>
  <c r="K33" i="24"/>
  <c r="N33" i="24" s="1"/>
  <c r="O33" i="24" s="1"/>
  <c r="V32" i="24"/>
  <c r="V31" i="24"/>
  <c r="V30" i="24"/>
  <c r="S30" i="24"/>
  <c r="V29" i="24"/>
  <c r="K28" i="24"/>
  <c r="H28" i="24"/>
  <c r="E28" i="24"/>
  <c r="V27" i="24"/>
  <c r="V26" i="24"/>
  <c r="S26" i="24"/>
  <c r="V25" i="24"/>
  <c r="V24" i="24"/>
  <c r="O23" i="24"/>
  <c r="N23" i="24"/>
  <c r="V21" i="24"/>
  <c r="S21" i="24"/>
  <c r="V20" i="24"/>
  <c r="S20" i="24"/>
  <c r="V19" i="24"/>
  <c r="O18" i="24"/>
  <c r="N18" i="24"/>
  <c r="V17" i="24"/>
  <c r="V16" i="24"/>
  <c r="S16" i="24"/>
  <c r="V15" i="24"/>
  <c r="S15" i="24"/>
  <c r="CM5" i="17"/>
  <c r="CL5" i="17"/>
  <c r="CK5" i="17"/>
  <c r="CM46" i="17"/>
  <c r="CL46" i="17"/>
  <c r="CK46" i="17"/>
  <c r="N57" i="14" s="1"/>
  <c r="CM7" i="17"/>
  <c r="M19" i="25" s="1"/>
  <c r="CL7" i="17"/>
  <c r="I19" i="25" s="1"/>
  <c r="CK7" i="17"/>
  <c r="I57" i="14" l="1"/>
  <c r="M57" i="14" s="1"/>
  <c r="H57" i="14"/>
  <c r="EY46" i="17"/>
  <c r="K29" i="28"/>
  <c r="K24" i="28"/>
  <c r="K14" i="28"/>
  <c r="K19" i="28"/>
  <c r="O24" i="28"/>
  <c r="O14" i="28"/>
  <c r="O19" i="28"/>
  <c r="O29" i="28"/>
  <c r="E27" i="24"/>
  <c r="E29" i="24" s="1"/>
  <c r="E17" i="24"/>
  <c r="E19" i="24" s="1"/>
  <c r="H17" i="24"/>
  <c r="H19" i="24" s="1"/>
  <c r="Q17" i="25"/>
  <c r="AA19" i="25"/>
  <c r="O25" i="25"/>
  <c r="K27" i="24"/>
  <c r="K29" i="24" s="1"/>
  <c r="K17" i="24"/>
  <c r="E22" i="24"/>
  <c r="E24" i="24" s="1"/>
  <c r="H22" i="24"/>
  <c r="H24" i="24" s="1"/>
  <c r="H27" i="24"/>
  <c r="H29" i="24" s="1"/>
  <c r="Q22" i="25"/>
  <c r="K22" i="24"/>
  <c r="K24" i="24" s="1"/>
  <c r="N28" i="24"/>
  <c r="O28" i="24" s="1"/>
  <c r="N36" i="24"/>
  <c r="O36" i="24" s="1"/>
  <c r="T32" i="24"/>
  <c r="N31" i="24"/>
  <c r="O31" i="24" s="1"/>
  <c r="N30" i="24"/>
  <c r="O30" i="24" s="1"/>
  <c r="N26" i="24"/>
  <c r="O26" i="24" s="1"/>
  <c r="T25" i="24"/>
  <c r="U21" i="24"/>
  <c r="T20" i="24"/>
  <c r="N16" i="24"/>
  <c r="O16" i="24" s="1"/>
  <c r="N32" i="24"/>
  <c r="O32" i="24" s="1"/>
  <c r="U32" i="24"/>
  <c r="U31" i="24"/>
  <c r="T15" i="24"/>
  <c r="K39" i="24"/>
  <c r="H39" i="24"/>
  <c r="T36" i="24"/>
  <c r="U35" i="24"/>
  <c r="H34" i="24"/>
  <c r="K34" i="24"/>
  <c r="E34" i="24"/>
  <c r="T26" i="24"/>
  <c r="U15" i="24"/>
  <c r="U20" i="24"/>
  <c r="N15" i="24"/>
  <c r="O15" i="24" s="1"/>
  <c r="T16" i="24"/>
  <c r="N20" i="24"/>
  <c r="O20" i="24" s="1"/>
  <c r="T21" i="24"/>
  <c r="U25" i="24"/>
  <c r="T35" i="24"/>
  <c r="E39" i="24"/>
  <c r="N25" i="24"/>
  <c r="O25" i="24" s="1"/>
  <c r="U26" i="24"/>
  <c r="N35" i="24"/>
  <c r="O35" i="24" s="1"/>
  <c r="U36" i="24"/>
  <c r="T37" i="24"/>
  <c r="T30" i="24"/>
  <c r="U37" i="24"/>
  <c r="U16" i="24"/>
  <c r="N21" i="24"/>
  <c r="O21" i="24" s="1"/>
  <c r="U30" i="24"/>
  <c r="T31" i="24"/>
  <c r="EZ46" i="17" l="1"/>
  <c r="FA46" i="17" s="1"/>
  <c r="H31" i="11"/>
  <c r="G19" i="28"/>
  <c r="H19" i="28" s="1"/>
  <c r="G14" i="28"/>
  <c r="H14" i="28" s="1"/>
  <c r="G29" i="28"/>
  <c r="H29" i="28" s="1"/>
  <c r="G24" i="28"/>
  <c r="H24" i="28" s="1"/>
  <c r="T17" i="24"/>
  <c r="T27" i="24"/>
  <c r="U27" i="24"/>
  <c r="K19" i="24"/>
  <c r="L15" i="24" s="1"/>
  <c r="U17" i="24"/>
  <c r="N17" i="24"/>
  <c r="O17" i="24" s="1"/>
  <c r="N27" i="24"/>
  <c r="O27" i="24" s="1"/>
  <c r="O30" i="25"/>
  <c r="N22" i="24"/>
  <c r="O22" i="24" s="1"/>
  <c r="U22" i="24"/>
  <c r="T22" i="24"/>
  <c r="Q19" i="25"/>
  <c r="Q27" i="25"/>
  <c r="O15" i="25"/>
  <c r="O20" i="25"/>
  <c r="W34" i="24"/>
  <c r="N34" i="24"/>
  <c r="S34" i="24" s="1"/>
  <c r="I35" i="24"/>
  <c r="I30" i="24"/>
  <c r="I15" i="24"/>
  <c r="F30" i="24"/>
  <c r="G30" i="24" s="1"/>
  <c r="I25" i="24"/>
  <c r="I20" i="24"/>
  <c r="N24" i="24"/>
  <c r="W24" i="24"/>
  <c r="F20" i="24"/>
  <c r="G20" i="24" s="1"/>
  <c r="W39" i="24"/>
  <c r="N39" i="24"/>
  <c r="F35" i="24"/>
  <c r="G35" i="24" s="1"/>
  <c r="N29" i="24"/>
  <c r="W29" i="24"/>
  <c r="F25" i="24"/>
  <c r="G25" i="24" s="1"/>
  <c r="W19" i="24"/>
  <c r="F15" i="24"/>
  <c r="G15" i="24" s="1"/>
  <c r="O38" i="23"/>
  <c r="N38" i="23"/>
  <c r="U32" i="23"/>
  <c r="T32" i="23"/>
  <c r="V39" i="23"/>
  <c r="V37" i="23"/>
  <c r="V36" i="23"/>
  <c r="V35" i="23"/>
  <c r="S35" i="23"/>
  <c r="K36" i="23"/>
  <c r="H36" i="23"/>
  <c r="K35" i="23"/>
  <c r="E36" i="23"/>
  <c r="H35" i="23"/>
  <c r="E35" i="23"/>
  <c r="K31" i="23"/>
  <c r="K30" i="23"/>
  <c r="H31" i="23"/>
  <c r="H30" i="23"/>
  <c r="E31" i="23"/>
  <c r="E30" i="23"/>
  <c r="K26" i="23"/>
  <c r="K25" i="23"/>
  <c r="H26" i="23"/>
  <c r="H25" i="23"/>
  <c r="E26" i="23"/>
  <c r="E25" i="23"/>
  <c r="K21" i="23"/>
  <c r="K20" i="23"/>
  <c r="H21" i="23"/>
  <c r="H20" i="23"/>
  <c r="E21" i="23"/>
  <c r="E20" i="23"/>
  <c r="K16" i="23"/>
  <c r="H16" i="23"/>
  <c r="E16" i="23"/>
  <c r="K15" i="23"/>
  <c r="H15" i="23"/>
  <c r="E15" i="23"/>
  <c r="BD1" i="17"/>
  <c r="BE1" i="17"/>
  <c r="BF1" i="17"/>
  <c r="BG1" i="17"/>
  <c r="BH1" i="17"/>
  <c r="BI1" i="17"/>
  <c r="BJ1" i="17"/>
  <c r="BK1" i="17"/>
  <c r="BL1" i="17"/>
  <c r="BM1" i="17"/>
  <c r="BN1" i="17"/>
  <c r="BO1" i="17"/>
  <c r="BP1" i="17"/>
  <c r="BQ1" i="17"/>
  <c r="BR1" i="17"/>
  <c r="BS1" i="17"/>
  <c r="BT1" i="17"/>
  <c r="BU1" i="17"/>
  <c r="BV1" i="17"/>
  <c r="BW1" i="17"/>
  <c r="BX1" i="17"/>
  <c r="BY1" i="17"/>
  <c r="BZ1" i="17"/>
  <c r="CA1" i="17"/>
  <c r="CB1" i="17"/>
  <c r="CC1" i="17"/>
  <c r="CD1" i="17"/>
  <c r="CE1" i="17"/>
  <c r="CF1" i="17"/>
  <c r="CG1" i="17"/>
  <c r="CH1" i="17"/>
  <c r="CI1" i="17"/>
  <c r="CJ1" i="17"/>
  <c r="EV1" i="17"/>
  <c r="V34" i="23"/>
  <c r="K33" i="23"/>
  <c r="N33" i="23" s="1"/>
  <c r="O33" i="23" s="1"/>
  <c r="V32" i="23"/>
  <c r="V31" i="23"/>
  <c r="V30" i="23"/>
  <c r="S30" i="23"/>
  <c r="V29" i="23"/>
  <c r="K28" i="23"/>
  <c r="H28" i="23"/>
  <c r="E28" i="23"/>
  <c r="V27" i="23"/>
  <c r="S27" i="23"/>
  <c r="V26" i="23"/>
  <c r="S26" i="23"/>
  <c r="V25" i="23"/>
  <c r="V24" i="23"/>
  <c r="N23" i="23"/>
  <c r="O23" i="23" s="1"/>
  <c r="V21" i="23"/>
  <c r="S21" i="23"/>
  <c r="V20" i="23"/>
  <c r="S20" i="23"/>
  <c r="V19" i="23"/>
  <c r="N18" i="23"/>
  <c r="O18" i="23" s="1"/>
  <c r="V17" i="23"/>
  <c r="V16" i="23"/>
  <c r="S16" i="23"/>
  <c r="V15" i="23"/>
  <c r="S15" i="23"/>
  <c r="CJ5" i="17"/>
  <c r="K37" i="23" s="1"/>
  <c r="CI5" i="17"/>
  <c r="H37" i="23" s="1"/>
  <c r="CH5" i="17"/>
  <c r="CJ18" i="17"/>
  <c r="K27" i="23" s="1"/>
  <c r="CI18" i="17"/>
  <c r="H27" i="23" s="1"/>
  <c r="CH18" i="17"/>
  <c r="CJ7" i="17"/>
  <c r="K17" i="23" s="1"/>
  <c r="CI7" i="17"/>
  <c r="CH7" i="17"/>
  <c r="H32" i="14" l="1"/>
  <c r="I32" i="14"/>
  <c r="M32" i="14" s="1"/>
  <c r="I27" i="14"/>
  <c r="M27" i="14" s="1"/>
  <c r="H27" i="14"/>
  <c r="N32" i="14"/>
  <c r="N27" i="14"/>
  <c r="EY7" i="17"/>
  <c r="U24" i="44" s="1"/>
  <c r="EZ5" i="17"/>
  <c r="EY5" i="17"/>
  <c r="U15" i="44" s="1"/>
  <c r="T29" i="28"/>
  <c r="S24" i="28"/>
  <c r="P24" i="28" s="1"/>
  <c r="S19" i="28"/>
  <c r="P19" i="28" s="1"/>
  <c r="S14" i="28"/>
  <c r="P14" i="28" s="1"/>
  <c r="T24" i="28"/>
  <c r="S29" i="28"/>
  <c r="P29" i="28" s="1"/>
  <c r="T19" i="28"/>
  <c r="T14" i="28"/>
  <c r="L20" i="24"/>
  <c r="L35" i="24"/>
  <c r="N19" i="24"/>
  <c r="Q25" i="24" s="1"/>
  <c r="G15" i="25"/>
  <c r="H15" i="25" s="1"/>
  <c r="AA29" i="25"/>
  <c r="L25" i="24"/>
  <c r="L30" i="24"/>
  <c r="G30" i="25"/>
  <c r="H30" i="25" s="1"/>
  <c r="G20" i="25"/>
  <c r="H20" i="25" s="1"/>
  <c r="Q29" i="25"/>
  <c r="G25" i="25"/>
  <c r="H25" i="25" s="1"/>
  <c r="J15" i="24"/>
  <c r="J30" i="24"/>
  <c r="J25" i="24"/>
  <c r="S39" i="24"/>
  <c r="J35" i="24"/>
  <c r="S29" i="24"/>
  <c r="J20" i="24"/>
  <c r="S24" i="24"/>
  <c r="E27" i="23"/>
  <c r="U27" i="23" s="1"/>
  <c r="E17" i="23"/>
  <c r="E19" i="23" s="1"/>
  <c r="E37" i="23"/>
  <c r="N37" i="23" s="1"/>
  <c r="O37" i="23" s="1"/>
  <c r="H17" i="23"/>
  <c r="T26" i="23"/>
  <c r="U26" i="23"/>
  <c r="U35" i="23"/>
  <c r="U21" i="23"/>
  <c r="U20" i="23"/>
  <c r="U15" i="23"/>
  <c r="N36" i="23"/>
  <c r="O36" i="23" s="1"/>
  <c r="T21" i="23"/>
  <c r="N35" i="23"/>
  <c r="O35" i="23" s="1"/>
  <c r="U30" i="23"/>
  <c r="U16" i="23"/>
  <c r="U31" i="23"/>
  <c r="N28" i="23"/>
  <c r="O28" i="23" s="1"/>
  <c r="U25" i="23"/>
  <c r="T30" i="23"/>
  <c r="T15" i="23"/>
  <c r="T31" i="23"/>
  <c r="T16" i="23"/>
  <c r="T35" i="23"/>
  <c r="T20" i="23"/>
  <c r="T36" i="23"/>
  <c r="U36" i="23"/>
  <c r="T25" i="23"/>
  <c r="H39" i="23"/>
  <c r="K39" i="23"/>
  <c r="N31" i="23"/>
  <c r="O31" i="23" s="1"/>
  <c r="N26" i="23"/>
  <c r="O26" i="23" s="1"/>
  <c r="N25" i="23"/>
  <c r="O25" i="23" s="1"/>
  <c r="N22" i="23"/>
  <c r="O22" i="23" s="1"/>
  <c r="N21" i="23"/>
  <c r="O21" i="23" s="1"/>
  <c r="N20" i="23"/>
  <c r="O20" i="23" s="1"/>
  <c r="N16" i="23"/>
  <c r="O16" i="23" s="1"/>
  <c r="H34" i="23"/>
  <c r="N32" i="23"/>
  <c r="O32" i="23" s="1"/>
  <c r="E34" i="23"/>
  <c r="K34" i="23"/>
  <c r="N30" i="23"/>
  <c r="O30" i="23" s="1"/>
  <c r="K29" i="23"/>
  <c r="H29" i="23"/>
  <c r="K24" i="23"/>
  <c r="E24" i="23"/>
  <c r="H24" i="23"/>
  <c r="K19" i="23"/>
  <c r="N15" i="23"/>
  <c r="O15" i="23" s="1"/>
  <c r="EZ7" i="17" l="1"/>
  <c r="FA7" i="17" s="1"/>
  <c r="FA5" i="17"/>
  <c r="H17" i="11"/>
  <c r="H19" i="11"/>
  <c r="P20" i="24"/>
  <c r="M20" i="24" s="1"/>
  <c r="P25" i="24"/>
  <c r="M25" i="24" s="1"/>
  <c r="Q20" i="24"/>
  <c r="Q35" i="24"/>
  <c r="Q30" i="24"/>
  <c r="S19" i="24"/>
  <c r="E4" i="24" s="1" a="1"/>
  <c r="E4" i="24" s="1"/>
  <c r="D4" i="24" s="1"/>
  <c r="P30" i="24"/>
  <c r="M30" i="24" s="1"/>
  <c r="P35" i="24"/>
  <c r="M35" i="24" s="1"/>
  <c r="P15" i="24"/>
  <c r="M15" i="24" s="1"/>
  <c r="Q15" i="24"/>
  <c r="U17" i="23"/>
  <c r="E29" i="23"/>
  <c r="W29" i="23" s="1"/>
  <c r="N27" i="23"/>
  <c r="O27" i="23" s="1"/>
  <c r="T27" i="23"/>
  <c r="H19" i="23"/>
  <c r="W19" i="23" s="1"/>
  <c r="N17" i="23"/>
  <c r="O17" i="23" s="1"/>
  <c r="T17" i="23"/>
  <c r="E39" i="23"/>
  <c r="T37" i="23"/>
  <c r="U37" i="23"/>
  <c r="L35" i="23"/>
  <c r="W34" i="23"/>
  <c r="N34" i="23"/>
  <c r="S34" i="23" s="1"/>
  <c r="L30" i="23"/>
  <c r="N24" i="23"/>
  <c r="L15" i="23"/>
  <c r="W24" i="23"/>
  <c r="L25" i="23"/>
  <c r="L20" i="23"/>
  <c r="E3" i="24" l="1" a="1"/>
  <c r="E3" i="24" s="1"/>
  <c r="E5" i="24" a="1"/>
  <c r="E5" i="24" s="1"/>
  <c r="D5" i="24" s="1"/>
  <c r="E2" i="24" a="1"/>
  <c r="E2" i="24" s="1"/>
  <c r="D2" i="24" s="1"/>
  <c r="I25" i="23"/>
  <c r="F30" i="23"/>
  <c r="G30" i="23" s="1"/>
  <c r="I15" i="23"/>
  <c r="I30" i="23"/>
  <c r="N19" i="23"/>
  <c r="S19" i="23" s="1"/>
  <c r="I20" i="23"/>
  <c r="N29" i="23"/>
  <c r="S29" i="23" s="1"/>
  <c r="I35" i="23"/>
  <c r="W39" i="23"/>
  <c r="J25" i="23" s="1"/>
  <c r="F35" i="23"/>
  <c r="G35" i="23" s="1"/>
  <c r="F15" i="23"/>
  <c r="G15" i="23" s="1"/>
  <c r="F20" i="23"/>
  <c r="G20" i="23" s="1"/>
  <c r="F25" i="23"/>
  <c r="G25" i="23" s="1"/>
  <c r="N39" i="23"/>
  <c r="S39" i="23" s="1"/>
  <c r="S24" i="23"/>
  <c r="J15" i="23" l="1"/>
  <c r="J30" i="23"/>
  <c r="P15" i="23"/>
  <c r="M15" i="23" s="1"/>
  <c r="J35" i="23"/>
  <c r="J20" i="23"/>
  <c r="P25" i="23"/>
  <c r="M25" i="23" s="1"/>
  <c r="Q25" i="23"/>
  <c r="Q20" i="23"/>
  <c r="E2" i="23" a="1"/>
  <c r="E2" i="23" s="1"/>
  <c r="D2" i="23" s="1"/>
  <c r="Q15" i="23"/>
  <c r="P20" i="23"/>
  <c r="M20" i="23" s="1"/>
  <c r="Q30" i="23"/>
  <c r="P30" i="23"/>
  <c r="M30" i="23" s="1"/>
  <c r="P35" i="23"/>
  <c r="M35" i="23" s="1"/>
  <c r="Q35" i="23"/>
  <c r="E3" i="23" a="1"/>
  <c r="E3" i="23" s="1"/>
  <c r="D3" i="23" s="1"/>
  <c r="OO19" i="16"/>
  <c r="OO9" i="16"/>
  <c r="V32" i="22" l="1"/>
  <c r="K17" i="22"/>
  <c r="H17" i="22"/>
  <c r="E17" i="22"/>
  <c r="K16" i="22"/>
  <c r="K32" i="22"/>
  <c r="K31" i="22"/>
  <c r="K30" i="22"/>
  <c r="K27" i="22"/>
  <c r="K26" i="22"/>
  <c r="K25" i="22"/>
  <c r="K21" i="22"/>
  <c r="K20" i="22"/>
  <c r="H30" i="22"/>
  <c r="H32" i="22"/>
  <c r="H31" i="22"/>
  <c r="H27" i="22"/>
  <c r="H26" i="22"/>
  <c r="H25" i="22"/>
  <c r="H21" i="22"/>
  <c r="H20" i="22"/>
  <c r="E32" i="22"/>
  <c r="E31" i="22"/>
  <c r="E30" i="22"/>
  <c r="E27" i="22"/>
  <c r="E26" i="22"/>
  <c r="E25" i="22"/>
  <c r="E21" i="22"/>
  <c r="E20" i="22"/>
  <c r="H16" i="22"/>
  <c r="E16" i="22"/>
  <c r="K15" i="22"/>
  <c r="H15" i="22"/>
  <c r="E15" i="22"/>
  <c r="V34" i="22"/>
  <c r="K33" i="22"/>
  <c r="N33" i="22" s="1"/>
  <c r="O33" i="22" s="1"/>
  <c r="V31" i="22"/>
  <c r="V30" i="22"/>
  <c r="V29" i="22"/>
  <c r="V27" i="22"/>
  <c r="V26" i="22"/>
  <c r="T26" i="22" s="1"/>
  <c r="V25" i="22"/>
  <c r="V24" i="22"/>
  <c r="N23" i="22"/>
  <c r="O23" i="22" s="1"/>
  <c r="V22" i="22"/>
  <c r="V21" i="22"/>
  <c r="T21" i="22" s="1"/>
  <c r="V20" i="22"/>
  <c r="T20" i="22" s="1"/>
  <c r="V19" i="22"/>
  <c r="N18" i="22"/>
  <c r="O18" i="22" s="1"/>
  <c r="V17" i="22"/>
  <c r="V16" i="22"/>
  <c r="T16" i="22" s="1"/>
  <c r="V15" i="22"/>
  <c r="T15" i="22" s="1"/>
  <c r="CG18" i="17"/>
  <c r="K22" i="22" s="1"/>
  <c r="CF18" i="17"/>
  <c r="H22" i="22" s="1"/>
  <c r="CE18" i="17"/>
  <c r="E22" i="22" l="1"/>
  <c r="N22" i="22" s="1"/>
  <c r="O22" i="22" s="1"/>
  <c r="T31" i="22"/>
  <c r="T17" i="22"/>
  <c r="T30" i="22"/>
  <c r="T27" i="22"/>
  <c r="T32" i="22"/>
  <c r="T25" i="22"/>
  <c r="T22" i="22"/>
  <c r="N21" i="22"/>
  <c r="O21" i="22" s="1"/>
  <c r="K24" i="22"/>
  <c r="N32" i="22"/>
  <c r="O32" i="22" s="1"/>
  <c r="H34" i="22"/>
  <c r="H24" i="22"/>
  <c r="K34" i="22"/>
  <c r="N31" i="22"/>
  <c r="O31" i="22" s="1"/>
  <c r="E34" i="22"/>
  <c r="N27" i="22"/>
  <c r="O27" i="22" s="1"/>
  <c r="N26" i="22"/>
  <c r="O26" i="22" s="1"/>
  <c r="N25" i="22"/>
  <c r="O25" i="22" s="1"/>
  <c r="N17" i="22"/>
  <c r="O17" i="22" s="1"/>
  <c r="K19" i="22"/>
  <c r="N16" i="22"/>
  <c r="O16" i="22" s="1"/>
  <c r="E19" i="22"/>
  <c r="H19" i="22"/>
  <c r="N15" i="22"/>
  <c r="O15" i="22" s="1"/>
  <c r="N30" i="22"/>
  <c r="O30" i="22" s="1"/>
  <c r="N20" i="22"/>
  <c r="O20" i="22" s="1"/>
  <c r="E24" i="22" l="1"/>
  <c r="N24" i="22" s="1"/>
  <c r="S24" i="22" s="1"/>
  <c r="W34" i="22"/>
  <c r="N19" i="22"/>
  <c r="N34" i="22"/>
  <c r="S34" i="22" s="1"/>
  <c r="W19" i="22"/>
  <c r="CD8" i="17"/>
  <c r="CC8" i="17"/>
  <c r="CB8" i="17"/>
  <c r="I20" i="14" l="1"/>
  <c r="M20" i="14" s="1"/>
  <c r="H20" i="14"/>
  <c r="N20" i="14"/>
  <c r="W24" i="22"/>
  <c r="S19" i="22"/>
  <c r="EZ8" i="17" l="1"/>
  <c r="EY8" i="17"/>
  <c r="U20" i="44" s="1"/>
  <c r="H11" i="11"/>
  <c r="V21" i="21"/>
  <c r="K30" i="21"/>
  <c r="H30" i="21"/>
  <c r="E30" i="21"/>
  <c r="K29" i="21"/>
  <c r="H29" i="21"/>
  <c r="E29" i="21"/>
  <c r="K25" i="21"/>
  <c r="K26" i="21"/>
  <c r="H25" i="21"/>
  <c r="H26" i="21"/>
  <c r="E25" i="21"/>
  <c r="E26" i="21"/>
  <c r="K24" i="21"/>
  <c r="H24" i="21"/>
  <c r="E24" i="21"/>
  <c r="K20" i="21"/>
  <c r="H20" i="21"/>
  <c r="E20" i="21"/>
  <c r="K19" i="21"/>
  <c r="H19" i="21"/>
  <c r="E19" i="21"/>
  <c r="K15" i="21"/>
  <c r="H15" i="21"/>
  <c r="E15" i="21"/>
  <c r="E14" i="21"/>
  <c r="K14" i="21"/>
  <c r="H14" i="21"/>
  <c r="CD18" i="17"/>
  <c r="K21" i="21" s="1"/>
  <c r="CC18" i="17"/>
  <c r="H21" i="21" s="1"/>
  <c r="CB18" i="17"/>
  <c r="E21" i="21" s="1"/>
  <c r="CD12" i="17"/>
  <c r="K16" i="21" s="1"/>
  <c r="CC12" i="17"/>
  <c r="CB12" i="17"/>
  <c r="V33" i="21"/>
  <c r="K32" i="21"/>
  <c r="N32" i="21" s="1"/>
  <c r="O32" i="21" s="1"/>
  <c r="N31" i="21"/>
  <c r="O31" i="21" s="1"/>
  <c r="V30" i="21"/>
  <c r="T30" i="21" s="1"/>
  <c r="V29" i="21"/>
  <c r="T29" i="21" s="1"/>
  <c r="V28" i="21"/>
  <c r="V26" i="21"/>
  <c r="T26" i="21" s="1"/>
  <c r="V25" i="21"/>
  <c r="T25" i="21" s="1"/>
  <c r="V24" i="21"/>
  <c r="T24" i="21" s="1"/>
  <c r="V23" i="21"/>
  <c r="N22" i="21"/>
  <c r="O22" i="21" s="1"/>
  <c r="V20" i="21"/>
  <c r="T20" i="21" s="1"/>
  <c r="V19" i="21"/>
  <c r="T19" i="21" s="1"/>
  <c r="V18" i="21"/>
  <c r="N17" i="21"/>
  <c r="O17" i="21" s="1"/>
  <c r="V16" i="21"/>
  <c r="V15" i="21"/>
  <c r="T15" i="21" s="1"/>
  <c r="V14" i="21"/>
  <c r="T14" i="21" s="1"/>
  <c r="FA8" i="17" l="1"/>
  <c r="T16" i="21"/>
  <c r="E16" i="21"/>
  <c r="E18" i="21" s="1"/>
  <c r="T21" i="21"/>
  <c r="H16" i="21"/>
  <c r="H18" i="21" s="1"/>
  <c r="N21" i="21"/>
  <c r="O21" i="21" s="1"/>
  <c r="H23" i="21"/>
  <c r="H33" i="21"/>
  <c r="N26" i="21"/>
  <c r="O26" i="21" s="1"/>
  <c r="K33" i="21"/>
  <c r="E33" i="21"/>
  <c r="N29" i="21"/>
  <c r="O29" i="21" s="1"/>
  <c r="N25" i="21"/>
  <c r="O25" i="21" s="1"/>
  <c r="K23" i="21"/>
  <c r="N20" i="21"/>
  <c r="O20" i="21" s="1"/>
  <c r="N19" i="21"/>
  <c r="O19" i="21" s="1"/>
  <c r="K18" i="21"/>
  <c r="N15" i="21"/>
  <c r="O15" i="21" s="1"/>
  <c r="E23" i="21"/>
  <c r="N30" i="21"/>
  <c r="O30" i="21" s="1"/>
  <c r="N14" i="21"/>
  <c r="O14" i="21" s="1"/>
  <c r="N24" i="21"/>
  <c r="O24" i="21" s="1"/>
  <c r="N16" i="21" l="1"/>
  <c r="O16" i="21" s="1"/>
  <c r="T33" i="21"/>
  <c r="W18" i="21"/>
  <c r="N33" i="21"/>
  <c r="S33" i="21" s="1"/>
  <c r="W33" i="21"/>
  <c r="T18" i="21"/>
  <c r="N18" i="21"/>
  <c r="T23" i="21"/>
  <c r="N23" i="21"/>
  <c r="W23" i="21"/>
  <c r="S18" i="21" l="1"/>
  <c r="S23" i="21"/>
  <c r="T35" i="20"/>
  <c r="V38" i="20"/>
  <c r="V36" i="20"/>
  <c r="V35" i="20"/>
  <c r="V34" i="20"/>
  <c r="T34" i="20" s="1"/>
  <c r="T30" i="20"/>
  <c r="T20" i="20"/>
  <c r="T16" i="20"/>
  <c r="K35" i="20"/>
  <c r="K34" i="20"/>
  <c r="H35" i="20"/>
  <c r="H34" i="20"/>
  <c r="E35" i="20"/>
  <c r="E34" i="20"/>
  <c r="K30" i="20"/>
  <c r="K29" i="20"/>
  <c r="H30" i="20"/>
  <c r="H29" i="20"/>
  <c r="E30" i="20"/>
  <c r="E29" i="20"/>
  <c r="K25" i="20"/>
  <c r="K26" i="20"/>
  <c r="K24" i="20"/>
  <c r="H25" i="20"/>
  <c r="H26" i="20"/>
  <c r="H24" i="20"/>
  <c r="E25" i="20"/>
  <c r="E26" i="20"/>
  <c r="E24" i="20"/>
  <c r="K20" i="20"/>
  <c r="K19" i="20"/>
  <c r="H20" i="20"/>
  <c r="H19" i="20"/>
  <c r="E20" i="20"/>
  <c r="E19" i="20"/>
  <c r="K15" i="20"/>
  <c r="K16" i="20"/>
  <c r="H15" i="20"/>
  <c r="H16" i="20"/>
  <c r="E16" i="20"/>
  <c r="E15" i="20"/>
  <c r="K14" i="20"/>
  <c r="H14" i="20"/>
  <c r="E14" i="20"/>
  <c r="K37" i="20"/>
  <c r="N37" i="20" s="1"/>
  <c r="O37" i="20" s="1"/>
  <c r="V33" i="20"/>
  <c r="K32" i="20"/>
  <c r="N32" i="20" s="1"/>
  <c r="O32" i="20" s="1"/>
  <c r="V30" i="20"/>
  <c r="V29" i="20"/>
  <c r="T29" i="20" s="1"/>
  <c r="V28" i="20"/>
  <c r="V26" i="20"/>
  <c r="T26" i="20" s="1"/>
  <c r="V25" i="20"/>
  <c r="T25" i="20" s="1"/>
  <c r="V24" i="20"/>
  <c r="T24" i="20" s="1"/>
  <c r="V23" i="20"/>
  <c r="N22" i="20"/>
  <c r="O22" i="20" s="1"/>
  <c r="V20" i="20"/>
  <c r="V19" i="20"/>
  <c r="T19" i="20" s="1"/>
  <c r="V18" i="20"/>
  <c r="N17" i="20"/>
  <c r="O17" i="20" s="1"/>
  <c r="V16" i="20"/>
  <c r="V15" i="20"/>
  <c r="T15" i="20" s="1"/>
  <c r="V14" i="20"/>
  <c r="T14" i="20" s="1"/>
  <c r="CA18" i="17"/>
  <c r="K36" i="20" s="1"/>
  <c r="BZ18" i="17"/>
  <c r="H36" i="20" s="1"/>
  <c r="BY18" i="17"/>
  <c r="T36" i="20" l="1"/>
  <c r="E36" i="20"/>
  <c r="N36" i="20" s="1"/>
  <c r="O36" i="20" s="1"/>
  <c r="N35" i="20"/>
  <c r="O35" i="20" s="1"/>
  <c r="N31" i="20"/>
  <c r="O31" i="20" s="1"/>
  <c r="N30" i="20"/>
  <c r="O30" i="20" s="1"/>
  <c r="N29" i="20"/>
  <c r="O29" i="20" s="1"/>
  <c r="N25" i="20"/>
  <c r="O25" i="20" s="1"/>
  <c r="N26" i="20"/>
  <c r="O26" i="20" s="1"/>
  <c r="N20" i="20"/>
  <c r="O20" i="20" s="1"/>
  <c r="N21" i="20"/>
  <c r="O21" i="20" s="1"/>
  <c r="H38" i="20"/>
  <c r="K38" i="20"/>
  <c r="N34" i="20"/>
  <c r="O34" i="20" s="1"/>
  <c r="K33" i="20"/>
  <c r="E33" i="20"/>
  <c r="E23" i="20"/>
  <c r="K23" i="20"/>
  <c r="H23" i="20"/>
  <c r="E18" i="20"/>
  <c r="H18" i="20"/>
  <c r="N16" i="20"/>
  <c r="O16" i="20" s="1"/>
  <c r="K18" i="20"/>
  <c r="N15" i="20"/>
  <c r="O15" i="20" s="1"/>
  <c r="N19" i="20"/>
  <c r="O19" i="20" s="1"/>
  <c r="H33" i="20"/>
  <c r="N24" i="20"/>
  <c r="O24" i="20" s="1"/>
  <c r="N14" i="20"/>
  <c r="O14" i="20" s="1"/>
  <c r="E38" i="20" l="1"/>
  <c r="W23" i="20"/>
  <c r="T18" i="20"/>
  <c r="N18" i="20"/>
  <c r="W18" i="20"/>
  <c r="N23" i="20"/>
  <c r="T23" i="20"/>
  <c r="N33" i="20"/>
  <c r="T33" i="20"/>
  <c r="W33" i="20"/>
  <c r="OL23" i="16"/>
  <c r="OK23" i="16"/>
  <c r="N38" i="20" l="1"/>
  <c r="T38" i="20"/>
  <c r="W38" i="20"/>
  <c r="S18" i="20"/>
  <c r="S23" i="20"/>
  <c r="S33" i="20"/>
  <c r="S38" i="20" l="1"/>
  <c r="K31" i="19"/>
  <c r="K30" i="19"/>
  <c r="K29" i="19"/>
  <c r="K25" i="19"/>
  <c r="K24" i="19"/>
  <c r="K21" i="19"/>
  <c r="K20" i="19"/>
  <c r="K19" i="19"/>
  <c r="K15" i="19"/>
  <c r="K14" i="19"/>
  <c r="E15" i="19"/>
  <c r="E14" i="19"/>
  <c r="H31" i="19"/>
  <c r="H30" i="19"/>
  <c r="H29" i="19"/>
  <c r="H25" i="19"/>
  <c r="H24" i="19"/>
  <c r="H21" i="19"/>
  <c r="H20" i="19"/>
  <c r="H19" i="19"/>
  <c r="H15" i="19"/>
  <c r="H14" i="19"/>
  <c r="E31" i="19"/>
  <c r="E30" i="19"/>
  <c r="E29" i="19"/>
  <c r="E25" i="19"/>
  <c r="E24" i="19"/>
  <c r="E21" i="19"/>
  <c r="E20" i="19"/>
  <c r="E19" i="19"/>
  <c r="BX18" i="17"/>
  <c r="K26" i="19" s="1"/>
  <c r="BW18" i="17"/>
  <c r="H26" i="19" s="1"/>
  <c r="BV18" i="17"/>
  <c r="BX48" i="17"/>
  <c r="K16" i="19" s="1"/>
  <c r="BW48" i="17"/>
  <c r="H16" i="19" s="1"/>
  <c r="BV48" i="17"/>
  <c r="E16" i="19" s="1"/>
  <c r="V33" i="19"/>
  <c r="K32" i="19"/>
  <c r="N32" i="19" s="1"/>
  <c r="O32" i="19" s="1"/>
  <c r="V31" i="19"/>
  <c r="T31" i="19" s="1"/>
  <c r="V30" i="19"/>
  <c r="T30" i="19" s="1"/>
  <c r="V29" i="19"/>
  <c r="T29" i="19" s="1"/>
  <c r="V28" i="19"/>
  <c r="V26" i="19"/>
  <c r="V25" i="19"/>
  <c r="T25" i="19" s="1"/>
  <c r="V24" i="19"/>
  <c r="T24" i="19" s="1"/>
  <c r="V23" i="19"/>
  <c r="N22" i="19"/>
  <c r="O22" i="19" s="1"/>
  <c r="V21" i="19"/>
  <c r="T21" i="19" s="1"/>
  <c r="V20" i="19"/>
  <c r="T20" i="19" s="1"/>
  <c r="V19" i="19"/>
  <c r="T19" i="19" s="1"/>
  <c r="V18" i="19"/>
  <c r="N17" i="19"/>
  <c r="O17" i="19" s="1"/>
  <c r="V16" i="19"/>
  <c r="V15" i="19"/>
  <c r="T15" i="19" s="1"/>
  <c r="V14" i="19"/>
  <c r="T14" i="19" s="1"/>
  <c r="U25" i="22" l="1"/>
  <c r="E26" i="19"/>
  <c r="N26" i="19" s="1"/>
  <c r="O26" i="19" s="1"/>
  <c r="U30" i="19"/>
  <c r="T26" i="19"/>
  <c r="T16" i="19"/>
  <c r="H33" i="19"/>
  <c r="E23" i="19"/>
  <c r="N30" i="19"/>
  <c r="O30" i="19" s="1"/>
  <c r="H23" i="19"/>
  <c r="K23" i="19"/>
  <c r="H18" i="19"/>
  <c r="N24" i="19"/>
  <c r="O24" i="19" s="1"/>
  <c r="E33" i="19"/>
  <c r="E18" i="19"/>
  <c r="N21" i="19"/>
  <c r="O21" i="19" s="1"/>
  <c r="N16" i="19"/>
  <c r="O16" i="19" s="1"/>
  <c r="K33" i="19"/>
  <c r="N31" i="19"/>
  <c r="O31" i="19" s="1"/>
  <c r="N25" i="19"/>
  <c r="O25" i="19" s="1"/>
  <c r="K18" i="19"/>
  <c r="N15" i="19"/>
  <c r="O15" i="19" s="1"/>
  <c r="N20" i="19"/>
  <c r="O20" i="19" s="1"/>
  <c r="N29" i="19"/>
  <c r="O29" i="19" s="1"/>
  <c r="N14" i="19"/>
  <c r="O14" i="19" s="1"/>
  <c r="N19" i="19"/>
  <c r="O19" i="19" s="1"/>
  <c r="T18" i="19" l="1"/>
  <c r="W33" i="19"/>
  <c r="W23" i="19"/>
  <c r="W18" i="19"/>
  <c r="N33" i="19"/>
  <c r="S33" i="19" s="1"/>
  <c r="N23" i="19"/>
  <c r="S23" i="19" s="1"/>
  <c r="T23" i="19"/>
  <c r="T33" i="19"/>
  <c r="N18" i="19"/>
  <c r="S18" i="19" l="1"/>
  <c r="OO14" i="16"/>
  <c r="U15" i="22" l="1"/>
  <c r="U32" i="22"/>
  <c r="U26" i="22"/>
  <c r="U20" i="22"/>
  <c r="U27" i="22"/>
  <c r="U31" i="22"/>
  <c r="U17" i="22"/>
  <c r="U30" i="22"/>
  <c r="U16" i="22"/>
  <c r="U21" i="22"/>
  <c r="U30" i="21"/>
  <c r="U20" i="21"/>
  <c r="U29" i="21"/>
  <c r="U25" i="21"/>
  <c r="U15" i="21"/>
  <c r="U14" i="21"/>
  <c r="U26" i="21"/>
  <c r="U24" i="21"/>
  <c r="U19" i="21"/>
  <c r="U30" i="20"/>
  <c r="U29" i="20"/>
  <c r="U25" i="20"/>
  <c r="U35" i="20"/>
  <c r="U26" i="20"/>
  <c r="U34" i="20"/>
  <c r="U19" i="20"/>
  <c r="U14" i="20"/>
  <c r="U15" i="20"/>
  <c r="U20" i="20"/>
  <c r="U16" i="20"/>
  <c r="U24" i="20"/>
  <c r="U19" i="19"/>
  <c r="U15" i="19"/>
  <c r="U31" i="19"/>
  <c r="U21" i="19"/>
  <c r="U29" i="19"/>
  <c r="U14" i="19"/>
  <c r="U24" i="19"/>
  <c r="U20" i="19"/>
  <c r="U25" i="19"/>
  <c r="H25" i="18"/>
  <c r="K25" i="18"/>
  <c r="E25" i="18"/>
  <c r="E4" i="23" l="1" a="1"/>
  <c r="E4" i="23" s="1"/>
  <c r="D4" i="23" s="1"/>
  <c r="E5" i="23" a="1"/>
  <c r="E5" i="23" s="1"/>
  <c r="D5" i="23" s="1"/>
  <c r="K30" i="18"/>
  <c r="H30" i="18"/>
  <c r="E30" i="18"/>
  <c r="K14" i="18"/>
  <c r="H14" i="18"/>
  <c r="E14" i="18"/>
  <c r="K31" i="18"/>
  <c r="K32" i="18"/>
  <c r="N32" i="18" s="1"/>
  <c r="O32" i="18" s="1"/>
  <c r="K29" i="18"/>
  <c r="H31" i="18"/>
  <c r="H29" i="18"/>
  <c r="E31" i="18"/>
  <c r="E29" i="18"/>
  <c r="K26" i="18"/>
  <c r="K24" i="18"/>
  <c r="H26" i="18"/>
  <c r="H24" i="18"/>
  <c r="E26" i="18"/>
  <c r="E24" i="18"/>
  <c r="K20" i="18"/>
  <c r="K21" i="18"/>
  <c r="K19" i="18"/>
  <c r="H20" i="18"/>
  <c r="H21" i="18"/>
  <c r="H19" i="18"/>
  <c r="E20" i="18"/>
  <c r="E21" i="18"/>
  <c r="E19" i="18"/>
  <c r="K15" i="18"/>
  <c r="K16" i="18"/>
  <c r="H15" i="18"/>
  <c r="H16" i="18"/>
  <c r="E15" i="18"/>
  <c r="E16" i="18"/>
  <c r="V33" i="18"/>
  <c r="V31" i="18"/>
  <c r="U31" i="18" s="1"/>
  <c r="V30" i="18"/>
  <c r="T30" i="18" s="1"/>
  <c r="V29" i="18"/>
  <c r="U29" i="18" s="1"/>
  <c r="V28" i="18"/>
  <c r="V26" i="18"/>
  <c r="U26" i="18" s="1"/>
  <c r="V25" i="18"/>
  <c r="T25" i="18" s="1"/>
  <c r="V24" i="18"/>
  <c r="T24" i="18" s="1"/>
  <c r="V23" i="18"/>
  <c r="N22" i="18"/>
  <c r="O22" i="18" s="1"/>
  <c r="V21" i="18"/>
  <c r="T21" i="18" s="1"/>
  <c r="V20" i="18"/>
  <c r="T20" i="18" s="1"/>
  <c r="V19" i="18"/>
  <c r="T19" i="18" s="1"/>
  <c r="V18" i="18"/>
  <c r="N17" i="18"/>
  <c r="O17" i="18" s="1"/>
  <c r="V16" i="18"/>
  <c r="U16" i="18" s="1"/>
  <c r="V15" i="18"/>
  <c r="U15" i="18" s="1"/>
  <c r="V14" i="18"/>
  <c r="U14" i="18" s="1"/>
  <c r="T14" i="18" l="1"/>
  <c r="T26" i="18"/>
  <c r="U21" i="18"/>
  <c r="T16" i="18"/>
  <c r="T29" i="18"/>
  <c r="U24" i="18"/>
  <c r="T15" i="18"/>
  <c r="T31" i="18"/>
  <c r="U20" i="18"/>
  <c r="N31" i="18"/>
  <c r="O31" i="18" s="1"/>
  <c r="N21" i="18"/>
  <c r="O21" i="18" s="1"/>
  <c r="N20" i="18"/>
  <c r="O20" i="18" s="1"/>
  <c r="N15" i="18"/>
  <c r="O15" i="18" s="1"/>
  <c r="N16" i="18"/>
  <c r="O16" i="18" s="1"/>
  <c r="E33" i="18"/>
  <c r="H33" i="18"/>
  <c r="K33" i="18"/>
  <c r="N30" i="18"/>
  <c r="O30" i="18" s="1"/>
  <c r="N26" i="18"/>
  <c r="O26" i="18" s="1"/>
  <c r="N25" i="18"/>
  <c r="O25" i="18" s="1"/>
  <c r="E23" i="18"/>
  <c r="H23" i="18"/>
  <c r="K23" i="18"/>
  <c r="H18" i="18"/>
  <c r="E18" i="18"/>
  <c r="K18" i="18"/>
  <c r="N14" i="18"/>
  <c r="O14" i="18" s="1"/>
  <c r="N19" i="18"/>
  <c r="O19" i="18" s="1"/>
  <c r="N24" i="18"/>
  <c r="O24" i="18" s="1"/>
  <c r="N29" i="18"/>
  <c r="O29" i="18" s="1"/>
  <c r="W33" i="18" l="1"/>
  <c r="N33" i="18"/>
  <c r="S33" i="18" s="1"/>
  <c r="T33" i="18"/>
  <c r="W23" i="18"/>
  <c r="T23" i="18"/>
  <c r="N23" i="18"/>
  <c r="S23" i="18" s="1"/>
  <c r="W18" i="18"/>
  <c r="N18" i="18"/>
  <c r="S18" i="18" s="1"/>
  <c r="T18" i="18"/>
  <c r="OK3" i="16"/>
  <c r="OL3" i="16" s="1"/>
  <c r="OK8" i="16"/>
  <c r="OL8" i="16"/>
  <c r="K10" i="13" l="1"/>
  <c r="H10" i="13"/>
  <c r="BR48" i="17"/>
  <c r="BQ48" i="17"/>
  <c r="BP48" i="17"/>
  <c r="BR12" i="17"/>
  <c r="BQ12" i="17"/>
  <c r="BP12" i="17"/>
  <c r="BR18" i="17"/>
  <c r="BQ18" i="17"/>
  <c r="BP18" i="17"/>
  <c r="BB1" i="17"/>
  <c r="BA1" i="17"/>
  <c r="AZ1" i="17"/>
  <c r="AY1" i="17"/>
  <c r="AX1" i="17"/>
  <c r="AW1" i="17"/>
  <c r="AV1" i="17"/>
  <c r="AU1" i="17"/>
  <c r="AT1" i="17"/>
  <c r="AS1" i="17"/>
  <c r="AR1" i="17"/>
  <c r="AQ1" i="17"/>
  <c r="AP1" i="17"/>
  <c r="AO1" i="17"/>
  <c r="AN1" i="17"/>
  <c r="AM1" i="17"/>
  <c r="AL1" i="17"/>
  <c r="AK38" i="17"/>
  <c r="AJ38" i="17"/>
  <c r="AI38" i="17"/>
  <c r="AK18" i="17"/>
  <c r="AJ18" i="17"/>
  <c r="AI18" i="17"/>
  <c r="AK32" i="17"/>
  <c r="AJ32" i="17"/>
  <c r="AI32" i="17"/>
  <c r="AK1" i="17"/>
  <c r="AJ1" i="17"/>
  <c r="AI1" i="17"/>
  <c r="AH1" i="17"/>
  <c r="AG1" i="17"/>
  <c r="AF1" i="17"/>
  <c r="AE1" i="17"/>
  <c r="AD1" i="17"/>
  <c r="AC1" i="17"/>
  <c r="AB1" i="17"/>
  <c r="AA1" i="17"/>
  <c r="Z1" i="17"/>
  <c r="Y1" i="17"/>
  <c r="X1" i="17"/>
  <c r="W1" i="17"/>
  <c r="V1" i="17"/>
  <c r="U1" i="17"/>
  <c r="T1" i="17"/>
  <c r="S1" i="17"/>
  <c r="BC1" i="17"/>
  <c r="Q1" i="17"/>
  <c r="P1" i="17"/>
  <c r="O1" i="17"/>
  <c r="N1" i="17"/>
  <c r="M1" i="17"/>
  <c r="L1" i="17"/>
  <c r="K1" i="17"/>
  <c r="J1" i="17"/>
  <c r="I1" i="17"/>
  <c r="H1" i="17"/>
  <c r="G1" i="17"/>
  <c r="F1" i="17"/>
  <c r="E1" i="17"/>
  <c r="R1" i="17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AZ1" i="2"/>
  <c r="BA1" i="2"/>
  <c r="BB1" i="2"/>
  <c r="BC1" i="2"/>
  <c r="BD1" i="2"/>
  <c r="BE1" i="2"/>
  <c r="BF1" i="2"/>
  <c r="BG1" i="2"/>
  <c r="BH1" i="2"/>
  <c r="BI1" i="2"/>
  <c r="BJ1" i="2"/>
  <c r="BK1" i="2"/>
  <c r="BL1" i="2"/>
  <c r="BM1" i="2"/>
  <c r="BN1" i="2"/>
  <c r="BO1" i="2"/>
  <c r="BP1" i="2"/>
  <c r="BQ1" i="2"/>
  <c r="BR1" i="2"/>
  <c r="BS1" i="2"/>
  <c r="BT1" i="2"/>
  <c r="BU1" i="2"/>
  <c r="U5" i="2"/>
  <c r="V5" i="2"/>
  <c r="U6" i="2"/>
  <c r="V6" i="2"/>
  <c r="U7" i="2"/>
  <c r="V7" i="2"/>
  <c r="U8" i="2"/>
  <c r="V8" i="2"/>
  <c r="U10" i="2"/>
  <c r="V10" i="2"/>
  <c r="U11" i="2"/>
  <c r="V11" i="2"/>
  <c r="U12" i="2"/>
  <c r="V12" i="2"/>
  <c r="U13" i="2"/>
  <c r="V13" i="2"/>
  <c r="U14" i="2"/>
  <c r="V14" i="2"/>
  <c r="U15" i="2"/>
  <c r="V15" i="2"/>
  <c r="U16" i="2"/>
  <c r="V16" i="2"/>
  <c r="F17" i="2"/>
  <c r="G17" i="2"/>
  <c r="H17" i="2"/>
  <c r="AN17" i="2"/>
  <c r="AO17" i="2"/>
  <c r="AP17" i="2"/>
  <c r="U18" i="2"/>
  <c r="V18" i="2"/>
  <c r="U20" i="2"/>
  <c r="V20" i="2"/>
  <c r="F21" i="2"/>
  <c r="G21" i="2"/>
  <c r="H21" i="2"/>
  <c r="F22" i="2"/>
  <c r="G22" i="2"/>
  <c r="H22" i="2"/>
  <c r="U24" i="2"/>
  <c r="V24" i="2"/>
  <c r="U25" i="2"/>
  <c r="V25" i="2"/>
  <c r="U26" i="2"/>
  <c r="V26" i="2"/>
  <c r="U27" i="2"/>
  <c r="V27" i="2"/>
  <c r="U28" i="2"/>
  <c r="V28" i="2"/>
  <c r="AN28" i="2"/>
  <c r="AO28" i="2"/>
  <c r="AP28" i="2"/>
  <c r="U29" i="2"/>
  <c r="V29" i="2"/>
  <c r="U31" i="2"/>
  <c r="V31" i="2"/>
  <c r="U32" i="2"/>
  <c r="V32" i="2"/>
  <c r="U33" i="2"/>
  <c r="V33" i="2"/>
  <c r="U34" i="2"/>
  <c r="V34" i="2"/>
  <c r="U35" i="2"/>
  <c r="V35" i="2"/>
  <c r="U36" i="2"/>
  <c r="V36" i="2"/>
  <c r="U37" i="2"/>
  <c r="V37" i="2"/>
  <c r="U38" i="2"/>
  <c r="V38" i="2"/>
  <c r="AN4" i="2"/>
  <c r="AO4" i="2"/>
  <c r="AP4" i="2"/>
  <c r="U23" i="2"/>
  <c r="FB50" i="17"/>
  <c r="FB39" i="17"/>
  <c r="FB49" i="17"/>
  <c r="FB30" i="17"/>
  <c r="FB46" i="17"/>
  <c r="FB33" i="17"/>
  <c r="FB44" i="17"/>
  <c r="FB41" i="17"/>
  <c r="FB6" i="17"/>
  <c r="FB38" i="17"/>
  <c r="FB22" i="17"/>
  <c r="FB9" i="17"/>
  <c r="FB27" i="17"/>
  <c r="FB25" i="17"/>
  <c r="FB12" i="17"/>
  <c r="FB34" i="17"/>
  <c r="FB45" i="17"/>
  <c r="FB23" i="17"/>
  <c r="FB28" i="17"/>
  <c r="FB8" i="17"/>
  <c r="FB21" i="17"/>
  <c r="FB11" i="17"/>
  <c r="FB17" i="17"/>
  <c r="FB15" i="17"/>
  <c r="FB37" i="17"/>
  <c r="FB4" i="17"/>
  <c r="FB20" i="17"/>
  <c r="EW1" i="17"/>
  <c r="D1" i="17"/>
  <c r="C1" i="17"/>
  <c r="A1" i="17"/>
  <c r="OM8" i="16"/>
  <c r="OM23" i="16"/>
  <c r="OM25" i="16"/>
  <c r="OM32" i="16"/>
  <c r="OM31" i="16"/>
  <c r="OM33" i="16"/>
  <c r="OM36" i="16"/>
  <c r="OO40" i="16"/>
  <c r="OM40" i="16"/>
  <c r="OO41" i="16"/>
  <c r="OO4" i="16"/>
  <c r="OO47" i="16"/>
  <c r="OO26" i="16"/>
  <c r="OO43" i="16"/>
  <c r="OO46" i="16"/>
  <c r="OO36" i="16"/>
  <c r="OO33" i="16"/>
  <c r="OO31" i="16"/>
  <c r="OO44" i="16"/>
  <c r="OO28" i="16"/>
  <c r="OO38" i="16"/>
  <c r="OO32" i="16"/>
  <c r="OO39" i="16"/>
  <c r="OO22" i="16"/>
  <c r="OO25" i="16"/>
  <c r="OO42" i="16"/>
  <c r="OO48" i="16"/>
  <c r="OO7" i="16"/>
  <c r="OO23" i="16"/>
  <c r="OO49" i="16"/>
  <c r="OO37" i="16"/>
  <c r="OO50" i="16"/>
  <c r="OO35" i="16"/>
  <c r="OO17" i="16"/>
  <c r="OO45" i="16"/>
  <c r="OO20" i="16"/>
  <c r="OO18" i="16"/>
  <c r="OO8" i="16"/>
  <c r="OO10" i="16"/>
  <c r="OO5" i="16"/>
  <c r="OO15" i="16"/>
  <c r="OO6" i="16"/>
  <c r="OO3" i="16"/>
  <c r="OM3" i="16"/>
  <c r="N35" i="14" l="1"/>
  <c r="U43" i="43"/>
  <c r="U33" i="43"/>
  <c r="U23" i="43"/>
  <c r="U18" i="43"/>
  <c r="U28" i="43"/>
  <c r="U38" i="43"/>
  <c r="U37" i="43"/>
  <c r="U17" i="43"/>
  <c r="U29" i="43"/>
  <c r="U26" i="43"/>
  <c r="U39" i="43"/>
  <c r="U22" i="43"/>
  <c r="U31" i="43"/>
  <c r="U42" i="43"/>
  <c r="U27" i="43"/>
  <c r="U19" i="43"/>
  <c r="U34" i="43"/>
  <c r="U35" i="43"/>
  <c r="U25" i="43"/>
  <c r="U32" i="43"/>
  <c r="U21" i="43"/>
  <c r="U16" i="43"/>
  <c r="U41" i="43"/>
  <c r="U20" i="43"/>
  <c r="U15" i="43"/>
  <c r="U40" i="43"/>
  <c r="U30" i="43"/>
  <c r="U38" i="42"/>
  <c r="U33" i="42"/>
  <c r="U28" i="42"/>
  <c r="U18" i="42"/>
  <c r="U23" i="42"/>
  <c r="U43" i="42"/>
  <c r="U22" i="42"/>
  <c r="U17" i="42"/>
  <c r="U37" i="42"/>
  <c r="U42" i="42"/>
  <c r="U32" i="42"/>
  <c r="U39" i="42"/>
  <c r="U40" i="42"/>
  <c r="U41" i="42"/>
  <c r="U27" i="42"/>
  <c r="U31" i="42"/>
  <c r="U26" i="42"/>
  <c r="U21" i="42"/>
  <c r="U34" i="42"/>
  <c r="U25" i="42"/>
  <c r="U19" i="42"/>
  <c r="U15" i="42"/>
  <c r="U30" i="42"/>
  <c r="U29" i="42"/>
  <c r="U35" i="42"/>
  <c r="U14" i="42"/>
  <c r="U16" i="42"/>
  <c r="U20" i="42"/>
  <c r="U18" i="41"/>
  <c r="U38" i="41"/>
  <c r="U43" i="41"/>
  <c r="U33" i="41"/>
  <c r="U28" i="41"/>
  <c r="U23" i="41"/>
  <c r="U22" i="41"/>
  <c r="U40" i="41"/>
  <c r="U42" i="41"/>
  <c r="U17" i="41"/>
  <c r="U37" i="41"/>
  <c r="U39" i="41"/>
  <c r="U41" i="41"/>
  <c r="U27" i="41"/>
  <c r="U32" i="41"/>
  <c r="U21" i="41"/>
  <c r="U36" i="41"/>
  <c r="U31" i="41"/>
  <c r="U35" i="41"/>
  <c r="U16" i="41"/>
  <c r="U25" i="41"/>
  <c r="U34" i="41"/>
  <c r="U19" i="41"/>
  <c r="U14" i="41"/>
  <c r="U30" i="41"/>
  <c r="U20" i="41"/>
  <c r="U15" i="41"/>
  <c r="U24" i="41"/>
  <c r="U18" i="40"/>
  <c r="U37" i="40"/>
  <c r="U23" i="40"/>
  <c r="U33" i="40"/>
  <c r="U43" i="40"/>
  <c r="U28" i="40"/>
  <c r="U38" i="40"/>
  <c r="U42" i="40"/>
  <c r="U22" i="40"/>
  <c r="U17" i="40"/>
  <c r="U40" i="40"/>
  <c r="U32" i="40"/>
  <c r="U41" i="40"/>
  <c r="U36" i="40"/>
  <c r="U35" i="40"/>
  <c r="U39" i="40"/>
  <c r="U27" i="40"/>
  <c r="U21" i="40"/>
  <c r="U16" i="40"/>
  <c r="U29" i="40"/>
  <c r="U20" i="40"/>
  <c r="U19" i="40"/>
  <c r="U30" i="40"/>
  <c r="U25" i="40"/>
  <c r="U24" i="40"/>
  <c r="U15" i="40"/>
  <c r="U14" i="40"/>
  <c r="U43" i="39"/>
  <c r="U33" i="39"/>
  <c r="U18" i="39"/>
  <c r="U23" i="39"/>
  <c r="U28" i="39"/>
  <c r="U38" i="39"/>
  <c r="U39" i="39"/>
  <c r="U32" i="39"/>
  <c r="U19" i="39"/>
  <c r="U29" i="39"/>
  <c r="U22" i="39"/>
  <c r="U41" i="39"/>
  <c r="U17" i="39"/>
  <c r="U35" i="39"/>
  <c r="U26" i="39"/>
  <c r="U21" i="39"/>
  <c r="U37" i="39"/>
  <c r="U20" i="39"/>
  <c r="U42" i="39"/>
  <c r="U36" i="39"/>
  <c r="U15" i="39"/>
  <c r="U25" i="39"/>
  <c r="U14" i="39"/>
  <c r="U30" i="39"/>
  <c r="U24" i="39"/>
  <c r="U27" i="39"/>
  <c r="U34" i="39"/>
  <c r="U16" i="39"/>
  <c r="U40" i="39"/>
  <c r="U24" i="38"/>
  <c r="U29" i="38"/>
  <c r="U25" i="38"/>
  <c r="U20" i="38"/>
  <c r="U15" i="38"/>
  <c r="U30" i="38"/>
  <c r="U16" i="38"/>
  <c r="U19" i="38"/>
  <c r="U43" i="38"/>
  <c r="U23" i="38"/>
  <c r="U18" i="38"/>
  <c r="U33" i="38"/>
  <c r="U42" i="38"/>
  <c r="U38" i="38"/>
  <c r="U28" i="38"/>
  <c r="U22" i="38"/>
  <c r="U37" i="38"/>
  <c r="U17" i="38"/>
  <c r="U35" i="38"/>
  <c r="U40" i="38"/>
  <c r="U32" i="38"/>
  <c r="U36" i="38"/>
  <c r="U27" i="38"/>
  <c r="U34" i="38"/>
  <c r="U39" i="38"/>
  <c r="U21" i="38"/>
  <c r="U41" i="38"/>
  <c r="U26" i="38"/>
  <c r="U14" i="38"/>
  <c r="G22" i="14"/>
  <c r="F22" i="14"/>
  <c r="G56" i="14"/>
  <c r="F56" i="14"/>
  <c r="C8" i="11"/>
  <c r="C22" i="11"/>
  <c r="C35" i="11"/>
  <c r="C23" i="11"/>
  <c r="C26" i="11"/>
  <c r="C21" i="11"/>
  <c r="U33" i="37"/>
  <c r="U38" i="37"/>
  <c r="U23" i="37"/>
  <c r="U43" i="37"/>
  <c r="U28" i="37"/>
  <c r="U18" i="37"/>
  <c r="U17" i="37"/>
  <c r="U42" i="37"/>
  <c r="U37" i="37"/>
  <c r="U22" i="37"/>
  <c r="U39" i="37"/>
  <c r="U32" i="37"/>
  <c r="U36" i="37"/>
  <c r="U27" i="37"/>
  <c r="U35" i="37"/>
  <c r="U41" i="37"/>
  <c r="U40" i="37"/>
  <c r="U34" i="37"/>
  <c r="U16" i="37"/>
  <c r="U30" i="37"/>
  <c r="U19" i="37"/>
  <c r="U29" i="37"/>
  <c r="U26" i="37"/>
  <c r="U15" i="37"/>
  <c r="U24" i="37"/>
  <c r="U20" i="37"/>
  <c r="U25" i="37"/>
  <c r="U14" i="37"/>
  <c r="I58" i="14"/>
  <c r="M58" i="14" s="1"/>
  <c r="H58" i="14"/>
  <c r="H35" i="14"/>
  <c r="I35" i="14"/>
  <c r="H22" i="14"/>
  <c r="I22" i="14"/>
  <c r="M22" i="14" s="1"/>
  <c r="U43" i="36"/>
  <c r="U38" i="36"/>
  <c r="U33" i="36"/>
  <c r="U18" i="36"/>
  <c r="U28" i="36"/>
  <c r="U23" i="36"/>
  <c r="U17" i="36"/>
  <c r="U37" i="36"/>
  <c r="U42" i="36"/>
  <c r="U22" i="36"/>
  <c r="U24" i="36"/>
  <c r="U32" i="36"/>
  <c r="U27" i="36"/>
  <c r="U36" i="36"/>
  <c r="U21" i="36"/>
  <c r="U16" i="36"/>
  <c r="U41" i="36"/>
  <c r="U34" i="36"/>
  <c r="U19" i="36"/>
  <c r="U20" i="36"/>
  <c r="U29" i="36"/>
  <c r="U39" i="36"/>
  <c r="U25" i="36"/>
  <c r="U30" i="36"/>
  <c r="U40" i="36"/>
  <c r="U35" i="36"/>
  <c r="U31" i="36"/>
  <c r="U14" i="36"/>
  <c r="F41" i="14"/>
  <c r="G41" i="14"/>
  <c r="U43" i="35"/>
  <c r="U38" i="35"/>
  <c r="U33" i="35"/>
  <c r="U28" i="35"/>
  <c r="U23" i="35"/>
  <c r="U18" i="35"/>
  <c r="U36" i="35"/>
  <c r="U37" i="35"/>
  <c r="U42" i="35"/>
  <c r="U17" i="35"/>
  <c r="U22" i="35"/>
  <c r="U32" i="35"/>
  <c r="U27" i="35"/>
  <c r="U41" i="35"/>
  <c r="U26" i="35"/>
  <c r="U31" i="35"/>
  <c r="U14" i="35"/>
  <c r="U21" i="35"/>
  <c r="U19" i="35"/>
  <c r="U35" i="35"/>
  <c r="U29" i="35"/>
  <c r="U39" i="35"/>
  <c r="U24" i="35"/>
  <c r="U40" i="35"/>
  <c r="U15" i="35"/>
  <c r="U20" i="35"/>
  <c r="U30" i="35"/>
  <c r="U34" i="35"/>
  <c r="U33" i="34"/>
  <c r="U23" i="34"/>
  <c r="U18" i="34"/>
  <c r="U28" i="34"/>
  <c r="U22" i="34"/>
  <c r="U17" i="34"/>
  <c r="U31" i="34"/>
  <c r="U32" i="34"/>
  <c r="U21" i="34"/>
  <c r="U16" i="34"/>
  <c r="U26" i="34"/>
  <c r="U27" i="34"/>
  <c r="U14" i="34"/>
  <c r="U24" i="34"/>
  <c r="U20" i="34"/>
  <c r="U15" i="34"/>
  <c r="U25" i="34"/>
  <c r="U19" i="34"/>
  <c r="U29" i="34"/>
  <c r="U23" i="33"/>
  <c r="U33" i="33"/>
  <c r="U18" i="33"/>
  <c r="U38" i="33"/>
  <c r="U28" i="33"/>
  <c r="U22" i="33"/>
  <c r="U31" i="33"/>
  <c r="U17" i="33"/>
  <c r="U37" i="33"/>
  <c r="U14" i="33"/>
  <c r="U32" i="33"/>
  <c r="U36" i="33"/>
  <c r="U27" i="33"/>
  <c r="U20" i="33"/>
  <c r="U24" i="33"/>
  <c r="U15" i="33"/>
  <c r="U21" i="33"/>
  <c r="U29" i="33"/>
  <c r="U34" i="33"/>
  <c r="U19" i="33"/>
  <c r="U35" i="33"/>
  <c r="U26" i="33"/>
  <c r="U16" i="33"/>
  <c r="U25" i="33"/>
  <c r="N22" i="14"/>
  <c r="EZ12" i="17"/>
  <c r="R16" i="21" s="1"/>
  <c r="EZ38" i="17"/>
  <c r="EY38" i="17"/>
  <c r="EZ32" i="17"/>
  <c r="EY32" i="17"/>
  <c r="U14" i="31"/>
  <c r="C27" i="11"/>
  <c r="C25" i="11"/>
  <c r="U18" i="32"/>
  <c r="U28" i="32"/>
  <c r="U37" i="32"/>
  <c r="U38" i="32"/>
  <c r="U22" i="32"/>
  <c r="U23" i="32"/>
  <c r="U31" i="32"/>
  <c r="U33" i="32"/>
  <c r="U17" i="32"/>
  <c r="U32" i="32"/>
  <c r="U19" i="32"/>
  <c r="U21" i="32"/>
  <c r="U30" i="32"/>
  <c r="U16" i="32"/>
  <c r="U24" i="32"/>
  <c r="U14" i="32"/>
  <c r="U36" i="32"/>
  <c r="U20" i="32"/>
  <c r="U34" i="32"/>
  <c r="U25" i="32"/>
  <c r="U26" i="32"/>
  <c r="U15" i="32"/>
  <c r="U29" i="32"/>
  <c r="U35" i="32"/>
  <c r="U27" i="32"/>
  <c r="EZ48" i="17"/>
  <c r="EY12" i="17"/>
  <c r="EY48" i="17"/>
  <c r="U38" i="31"/>
  <c r="U23" i="31"/>
  <c r="U28" i="31"/>
  <c r="U18" i="31"/>
  <c r="U33" i="31"/>
  <c r="U37" i="31"/>
  <c r="U32" i="31"/>
  <c r="U22" i="31"/>
  <c r="U17" i="31"/>
  <c r="U31" i="31"/>
  <c r="U27" i="31"/>
  <c r="U34" i="31"/>
  <c r="U29" i="31"/>
  <c r="U19" i="31"/>
  <c r="U25" i="31"/>
  <c r="U15" i="31"/>
  <c r="U24" i="31"/>
  <c r="U26" i="31"/>
  <c r="U21" i="31"/>
  <c r="U35" i="31"/>
  <c r="U36" i="31"/>
  <c r="U30" i="31"/>
  <c r="U20" i="31"/>
  <c r="U38" i="28"/>
  <c r="U18" i="28"/>
  <c r="U28" i="28"/>
  <c r="U23" i="28"/>
  <c r="U33" i="28"/>
  <c r="U27" i="28"/>
  <c r="U32" i="28"/>
  <c r="U17" i="28"/>
  <c r="U22" i="28"/>
  <c r="U37" i="28"/>
  <c r="U34" i="28"/>
  <c r="U15" i="28"/>
  <c r="U31" i="28"/>
  <c r="U16" i="28"/>
  <c r="U30" i="28"/>
  <c r="U36" i="28"/>
  <c r="U21" i="28"/>
  <c r="U25" i="28"/>
  <c r="U29" i="28"/>
  <c r="U24" i="28"/>
  <c r="U26" i="28"/>
  <c r="U19" i="28"/>
  <c r="U14" i="28"/>
  <c r="U20" i="28"/>
  <c r="U35" i="28"/>
  <c r="U34" i="27"/>
  <c r="U17" i="27"/>
  <c r="U19" i="27"/>
  <c r="U27" i="27"/>
  <c r="U39" i="27"/>
  <c r="U29" i="27"/>
  <c r="U24" i="27"/>
  <c r="U20" i="27"/>
  <c r="U30" i="27"/>
  <c r="U32" i="27"/>
  <c r="U33" i="27"/>
  <c r="U16" i="27"/>
  <c r="U31" i="27"/>
  <c r="U23" i="27"/>
  <c r="U26" i="27"/>
  <c r="U28" i="27"/>
  <c r="U37" i="27"/>
  <c r="U25" i="27"/>
  <c r="U38" i="27"/>
  <c r="U22" i="27"/>
  <c r="U15" i="27"/>
  <c r="U35" i="27"/>
  <c r="U21" i="27"/>
  <c r="U18" i="27"/>
  <c r="U36" i="27"/>
  <c r="U39" i="25"/>
  <c r="U34" i="25"/>
  <c r="U29" i="25"/>
  <c r="U19" i="25"/>
  <c r="U24" i="25"/>
  <c r="U23" i="25"/>
  <c r="U16" i="25"/>
  <c r="U33" i="25"/>
  <c r="U28" i="25"/>
  <c r="U25" i="25"/>
  <c r="U37" i="25"/>
  <c r="U18" i="25"/>
  <c r="U38" i="25"/>
  <c r="U22" i="25"/>
  <c r="U26" i="25"/>
  <c r="U21" i="25"/>
  <c r="U15" i="25"/>
  <c r="U35" i="25"/>
  <c r="U20" i="25"/>
  <c r="U17" i="25"/>
  <c r="U36" i="25"/>
  <c r="U30" i="25"/>
  <c r="U31" i="25"/>
  <c r="U27" i="25"/>
  <c r="U32" i="25"/>
  <c r="C5" i="11"/>
  <c r="C20" i="11"/>
  <c r="C13" i="11"/>
  <c r="C33" i="11"/>
  <c r="C6" i="11"/>
  <c r="C30" i="11"/>
  <c r="C32" i="11"/>
  <c r="C15" i="11"/>
  <c r="C10" i="11"/>
  <c r="C7" i="11"/>
  <c r="C16" i="11"/>
  <c r="C29" i="11"/>
  <c r="C19" i="11"/>
  <c r="C28" i="11"/>
  <c r="C24" i="11"/>
  <c r="C14" i="11"/>
  <c r="C11" i="11"/>
  <c r="C31" i="11"/>
  <c r="C17" i="11"/>
  <c r="C12" i="11"/>
  <c r="C9" i="11"/>
  <c r="C34" i="11"/>
  <c r="C3" i="11"/>
  <c r="C4" i="11"/>
  <c r="C18" i="11"/>
  <c r="C2" i="11"/>
  <c r="R29" i="24"/>
  <c r="R39" i="24"/>
  <c r="R24" i="24"/>
  <c r="R34" i="24"/>
  <c r="R19" i="24"/>
  <c r="R28" i="24"/>
  <c r="R18" i="24"/>
  <c r="R23" i="24"/>
  <c r="R38" i="24"/>
  <c r="R33" i="24"/>
  <c r="R37" i="24"/>
  <c r="R36" i="24"/>
  <c r="R30" i="24"/>
  <c r="R22" i="24"/>
  <c r="R15" i="24"/>
  <c r="R20" i="24"/>
  <c r="R16" i="24"/>
  <c r="R27" i="24"/>
  <c r="R26" i="24"/>
  <c r="R25" i="24"/>
  <c r="R21" i="24"/>
  <c r="R17" i="24"/>
  <c r="R35" i="24"/>
  <c r="R31" i="24"/>
  <c r="R32" i="24"/>
  <c r="R19" i="23"/>
  <c r="R39" i="23"/>
  <c r="R24" i="23"/>
  <c r="R38" i="23"/>
  <c r="R29" i="23"/>
  <c r="R34" i="23"/>
  <c r="R35" i="23"/>
  <c r="R36" i="23"/>
  <c r="R18" i="23"/>
  <c r="R33" i="23"/>
  <c r="R23" i="23"/>
  <c r="R28" i="23"/>
  <c r="R22" i="23"/>
  <c r="R32" i="23"/>
  <c r="R17" i="23"/>
  <c r="R37" i="23"/>
  <c r="R21" i="23"/>
  <c r="R25" i="23"/>
  <c r="R16" i="23"/>
  <c r="R26" i="23"/>
  <c r="R20" i="23"/>
  <c r="R31" i="23"/>
  <c r="R30" i="23"/>
  <c r="R15" i="23"/>
  <c r="R29" i="22"/>
  <c r="R34" i="22"/>
  <c r="R24" i="22"/>
  <c r="R19" i="22"/>
  <c r="R18" i="22"/>
  <c r="R23" i="22"/>
  <c r="R33" i="22"/>
  <c r="R20" i="22"/>
  <c r="R32" i="22"/>
  <c r="R17" i="22"/>
  <c r="R16" i="22"/>
  <c r="R31" i="22"/>
  <c r="R27" i="22"/>
  <c r="R26" i="22"/>
  <c r="R30" i="22"/>
  <c r="R15" i="22"/>
  <c r="R25" i="22"/>
  <c r="R21" i="22"/>
  <c r="K25" i="13"/>
  <c r="R28" i="21"/>
  <c r="R33" i="21"/>
  <c r="R23" i="21"/>
  <c r="R18" i="21"/>
  <c r="R31" i="21"/>
  <c r="R22" i="21"/>
  <c r="R32" i="21"/>
  <c r="R17" i="21"/>
  <c r="R14" i="21"/>
  <c r="R24" i="21"/>
  <c r="R19" i="21"/>
  <c r="R15" i="21"/>
  <c r="R20" i="21"/>
  <c r="R26" i="21"/>
  <c r="R25" i="21"/>
  <c r="R30" i="21"/>
  <c r="R29" i="21"/>
  <c r="R28" i="20"/>
  <c r="R17" i="20"/>
  <c r="R21" i="20"/>
  <c r="R33" i="20"/>
  <c r="R23" i="20"/>
  <c r="R18" i="20"/>
  <c r="R22" i="20"/>
  <c r="R38" i="20"/>
  <c r="R32" i="20"/>
  <c r="R37" i="20"/>
  <c r="R24" i="20"/>
  <c r="R14" i="20"/>
  <c r="R26" i="20"/>
  <c r="R20" i="20"/>
  <c r="R29" i="20"/>
  <c r="R16" i="20"/>
  <c r="R34" i="20"/>
  <c r="R15" i="20"/>
  <c r="R31" i="20"/>
  <c r="R25" i="20"/>
  <c r="R30" i="20"/>
  <c r="R35" i="20"/>
  <c r="R19" i="20"/>
  <c r="E11" i="13"/>
  <c r="E16" i="13"/>
  <c r="E25" i="13"/>
  <c r="H22" i="13"/>
  <c r="K16" i="13"/>
  <c r="K26" i="13"/>
  <c r="H11" i="13"/>
  <c r="E17" i="13"/>
  <c r="E26" i="13"/>
  <c r="H23" i="13"/>
  <c r="K17" i="13"/>
  <c r="K27" i="13"/>
  <c r="K11" i="13"/>
  <c r="E18" i="13"/>
  <c r="E27" i="13"/>
  <c r="H25" i="13"/>
  <c r="K18" i="13"/>
  <c r="K28" i="13"/>
  <c r="E12" i="13"/>
  <c r="E20" i="13"/>
  <c r="E28" i="13"/>
  <c r="H26" i="13"/>
  <c r="K20" i="13"/>
  <c r="E13" i="13"/>
  <c r="H12" i="13"/>
  <c r="H20" i="13"/>
  <c r="H16" i="13"/>
  <c r="H27" i="13"/>
  <c r="K21" i="13"/>
  <c r="H13" i="13"/>
  <c r="E10" i="13"/>
  <c r="E15" i="13"/>
  <c r="E21" i="13"/>
  <c r="H17" i="13"/>
  <c r="H28" i="13"/>
  <c r="K22" i="13"/>
  <c r="H15" i="13"/>
  <c r="E22" i="13"/>
  <c r="H18" i="13"/>
  <c r="K12" i="13"/>
  <c r="K23" i="13"/>
  <c r="K15" i="13"/>
  <c r="E23" i="13"/>
  <c r="H21" i="13"/>
  <c r="K13" i="13"/>
  <c r="V21" i="2"/>
  <c r="U17" i="2"/>
  <c r="V22" i="2"/>
  <c r="U22" i="2"/>
  <c r="V17" i="2"/>
  <c r="U21" i="2"/>
  <c r="FB18" i="17"/>
  <c r="FB48" i="17"/>
  <c r="U36" i="42" l="1"/>
  <c r="U25" i="44"/>
  <c r="U36" i="43"/>
  <c r="U26" i="40"/>
  <c r="U26" i="41"/>
  <c r="U31" i="39"/>
  <c r="U31" i="40"/>
  <c r="U21" i="37"/>
  <c r="U31" i="38"/>
  <c r="U16" i="35"/>
  <c r="U26" i="36"/>
  <c r="FA32" i="17"/>
  <c r="FA38" i="17"/>
  <c r="L6" i="14" a="1"/>
  <c r="L6" i="14" s="1"/>
  <c r="K6" i="14" s="1"/>
  <c r="L7" i="14" a="1"/>
  <c r="L7" i="14" s="1"/>
  <c r="K7" i="14" s="1"/>
  <c r="EY18" i="17"/>
  <c r="EZ18" i="17"/>
  <c r="R27" i="23" s="1"/>
  <c r="L7" i="11"/>
  <c r="FA48" i="17"/>
  <c r="FA12" i="17"/>
  <c r="H10" i="11"/>
  <c r="J9" i="11"/>
  <c r="J28" i="11"/>
  <c r="J30" i="11"/>
  <c r="J19" i="11"/>
  <c r="J6" i="11"/>
  <c r="J29" i="11"/>
  <c r="J17" i="11"/>
  <c r="J16" i="11"/>
  <c r="J13" i="11"/>
  <c r="J18" i="11"/>
  <c r="J31" i="11"/>
  <c r="J7" i="11"/>
  <c r="J20" i="11"/>
  <c r="J11" i="11"/>
  <c r="J10" i="11"/>
  <c r="J5" i="11"/>
  <c r="J3" i="11"/>
  <c r="J14" i="11"/>
  <c r="J15" i="11"/>
  <c r="J24" i="11"/>
  <c r="U22" i="22"/>
  <c r="U21" i="21"/>
  <c r="U16" i="21"/>
  <c r="U36" i="20"/>
  <c r="U16" i="19"/>
  <c r="U26" i="19"/>
  <c r="U30" i="18"/>
  <c r="U19" i="18"/>
  <c r="U25" i="18"/>
  <c r="U24" i="43" l="1"/>
  <c r="U14" i="43"/>
  <c r="U29" i="41"/>
  <c r="U24" i="42"/>
  <c r="U31" i="37"/>
  <c r="U34" i="40"/>
  <c r="U25" i="35"/>
  <c r="U15" i="36"/>
  <c r="U30" i="33"/>
  <c r="U30" i="34"/>
  <c r="R21" i="21"/>
  <c r="FA18" i="17"/>
  <c r="U16" i="31"/>
  <c r="R22" i="22"/>
  <c r="R36" i="20"/>
  <c r="L20" i="11"/>
  <c r="L15" i="11"/>
  <c r="L19" i="11"/>
  <c r="L10" i="11"/>
  <c r="L16" i="11"/>
  <c r="L26" i="11"/>
  <c r="L21" i="11"/>
  <c r="L22" i="11"/>
  <c r="L13" i="11"/>
  <c r="L4" i="11"/>
  <c r="L27" i="11"/>
  <c r="L3" i="11"/>
  <c r="L23" i="11"/>
  <c r="L11" i="11"/>
  <c r="L5" i="11"/>
  <c r="H34" i="11"/>
  <c r="L29" i="11"/>
  <c r="L6" i="11"/>
  <c r="J34" i="11"/>
  <c r="L28" i="11"/>
  <c r="L17" i="11"/>
  <c r="L12" i="11"/>
  <c r="L9" i="11"/>
  <c r="L8" i="11"/>
  <c r="L2" i="11"/>
  <c r="L14" i="11"/>
  <c r="L25" i="11"/>
  <c r="L24" i="11"/>
  <c r="L18" i="11"/>
  <c r="J12" i="11"/>
  <c r="J4" i="11"/>
  <c r="BV5" i="2"/>
  <c r="KD4" i="1"/>
  <c r="V33" i="15"/>
  <c r="V31" i="15"/>
  <c r="T31" i="15" s="1"/>
  <c r="V30" i="15"/>
  <c r="T30" i="15" s="1"/>
  <c r="V29" i="15"/>
  <c r="T29" i="15" s="1"/>
  <c r="V28" i="15"/>
  <c r="V27" i="15"/>
  <c r="T27" i="15" s="1"/>
  <c r="V26" i="15"/>
  <c r="T26" i="15" s="1"/>
  <c r="V25" i="15"/>
  <c r="T25" i="15" s="1"/>
  <c r="V24" i="15"/>
  <c r="T24" i="15" s="1"/>
  <c r="V23" i="15"/>
  <c r="N22" i="15"/>
  <c r="V21" i="15"/>
  <c r="T21" i="15" s="1"/>
  <c r="V20" i="15"/>
  <c r="T20" i="15" s="1"/>
  <c r="V19" i="15"/>
  <c r="T19" i="15" s="1"/>
  <c r="V18" i="15"/>
  <c r="N17" i="15"/>
  <c r="V16" i="15"/>
  <c r="T16" i="15" s="1"/>
  <c r="V15" i="15"/>
  <c r="T15" i="15" s="1"/>
  <c r="V14" i="15"/>
  <c r="T14" i="15" s="1"/>
  <c r="BV38" i="2"/>
  <c r="BV37" i="2"/>
  <c r="BV36" i="2"/>
  <c r="BV35" i="2"/>
  <c r="BV34" i="2"/>
  <c r="BV33" i="2"/>
  <c r="BV32" i="2"/>
  <c r="BV31" i="2"/>
  <c r="BV29" i="2"/>
  <c r="BV28" i="2"/>
  <c r="BV27" i="2"/>
  <c r="BV26" i="2"/>
  <c r="BV25" i="2"/>
  <c r="BV24" i="2"/>
  <c r="BV22" i="2"/>
  <c r="U16" i="15" s="1"/>
  <c r="BV21" i="2"/>
  <c r="BV20" i="2"/>
  <c r="BV18" i="2"/>
  <c r="BV17" i="2"/>
  <c r="U31" i="15" s="1"/>
  <c r="BV16" i="2"/>
  <c r="U26" i="15" s="1"/>
  <c r="BV15" i="2"/>
  <c r="U29" i="15" s="1"/>
  <c r="BV14" i="2"/>
  <c r="U24" i="15" s="1"/>
  <c r="BV13" i="2"/>
  <c r="U25" i="15" s="1"/>
  <c r="BV12" i="2"/>
  <c r="BV11" i="2"/>
  <c r="BV10" i="2"/>
  <c r="U20" i="15" s="1"/>
  <c r="BV8" i="2"/>
  <c r="U27" i="15" s="1"/>
  <c r="BV7" i="2"/>
  <c r="U14" i="15" s="1"/>
  <c r="BV6" i="2"/>
  <c r="U30" i="15" s="1"/>
  <c r="L9" i="14" l="1" a="1"/>
  <c r="L9" i="14" s="1"/>
  <c r="K9" i="14" s="1"/>
  <c r="L8" i="14" a="1"/>
  <c r="L8" i="14" s="1"/>
  <c r="K8" i="14" s="1"/>
  <c r="P4" i="11"/>
  <c r="Q4" i="11" s="1"/>
  <c r="P2" i="11"/>
  <c r="Q2" i="11" s="1"/>
  <c r="P5" i="11"/>
  <c r="Q5" i="11" s="1"/>
  <c r="P3" i="11"/>
  <c r="Q3" i="11" s="1"/>
  <c r="P11" i="11"/>
  <c r="Q11" i="11" s="1"/>
  <c r="P9" i="11"/>
  <c r="Q9" i="11" s="1"/>
  <c r="P10" i="11"/>
  <c r="Q10" i="11" s="1"/>
  <c r="P8" i="11"/>
  <c r="Q8" i="11" s="1"/>
  <c r="P7" i="11"/>
  <c r="Q7" i="11" s="1"/>
  <c r="P6" i="11"/>
  <c r="Q6" i="11" s="1"/>
  <c r="U15" i="15"/>
  <c r="U19" i="15"/>
  <c r="U21" i="15"/>
  <c r="N32" i="15"/>
  <c r="O17" i="15"/>
  <c r="O22" i="15"/>
  <c r="KD5" i="1"/>
  <c r="KD7" i="1"/>
  <c r="KD10" i="1"/>
  <c r="KD8" i="1"/>
  <c r="KD11" i="1"/>
  <c r="KD12" i="1"/>
  <c r="KD13" i="1"/>
  <c r="KD14" i="1"/>
  <c r="KD9" i="1"/>
  <c r="KD15" i="1"/>
  <c r="KD16" i="1"/>
  <c r="KD17" i="1"/>
  <c r="KD18" i="1"/>
  <c r="KD19" i="1"/>
  <c r="KD20" i="1"/>
  <c r="KD22" i="1"/>
  <c r="KD21" i="1"/>
  <c r="KD23" i="1"/>
  <c r="KD24" i="1"/>
  <c r="KD25" i="1"/>
  <c r="KD26" i="1"/>
  <c r="KD27" i="1"/>
  <c r="KD29" i="1"/>
  <c r="KD28" i="1"/>
  <c r="KD30" i="1"/>
  <c r="KD31" i="1"/>
  <c r="KD32" i="1"/>
  <c r="KD33" i="1"/>
  <c r="KD34" i="1"/>
  <c r="KD35" i="1"/>
  <c r="KD36" i="1"/>
  <c r="KD6" i="1"/>
  <c r="KC4" i="1"/>
  <c r="KD37" i="1"/>
  <c r="O32" i="15" l="1"/>
  <c r="KE15" i="1"/>
  <c r="KE16" i="1"/>
  <c r="KE17" i="1"/>
  <c r="KE8" i="1"/>
  <c r="KE18" i="1"/>
  <c r="KE19" i="1"/>
  <c r="KE11" i="1"/>
  <c r="KE14" i="1"/>
  <c r="KE20" i="1"/>
  <c r="KE5" i="1"/>
  <c r="KE22" i="1"/>
  <c r="KE23" i="1"/>
  <c r="KE7" i="1"/>
  <c r="KE24" i="1"/>
  <c r="KE25" i="1"/>
  <c r="KE12" i="1"/>
  <c r="KE21" i="1"/>
  <c r="KE26" i="1"/>
  <c r="KE27" i="1"/>
  <c r="KE29" i="1"/>
  <c r="KE30" i="1"/>
  <c r="KE31" i="1"/>
  <c r="KE32" i="1"/>
  <c r="KE28" i="1"/>
  <c r="KE4" i="1"/>
  <c r="KE33" i="1"/>
  <c r="KE34" i="1"/>
  <c r="KE13" i="1"/>
  <c r="KE35" i="1"/>
  <c r="KE36" i="1"/>
  <c r="KE6" i="1"/>
  <c r="KE10" i="1"/>
  <c r="KE37" i="1"/>
  <c r="KE9" i="1"/>
  <c r="KC15" i="1"/>
  <c r="KC16" i="1"/>
  <c r="KC17" i="1"/>
  <c r="KC8" i="1"/>
  <c r="KC18" i="1"/>
  <c r="KC19" i="1"/>
  <c r="KC11" i="1"/>
  <c r="KC14" i="1"/>
  <c r="KC20" i="1"/>
  <c r="KC5" i="1"/>
  <c r="KC22" i="1"/>
  <c r="KC23" i="1"/>
  <c r="KC7" i="1"/>
  <c r="KC24" i="1"/>
  <c r="KC25" i="1"/>
  <c r="KC12" i="1"/>
  <c r="KC21" i="1"/>
  <c r="KC26" i="1"/>
  <c r="KC27" i="1"/>
  <c r="KC29" i="1"/>
  <c r="KC30" i="1"/>
  <c r="KC31" i="1"/>
  <c r="KC32" i="1"/>
  <c r="KC28" i="1"/>
  <c r="KC33" i="1"/>
  <c r="KC34" i="1"/>
  <c r="KC13" i="1"/>
  <c r="KC35" i="1"/>
  <c r="KC36" i="1"/>
  <c r="KC6" i="1"/>
  <c r="KC10" i="1"/>
  <c r="KC37" i="1"/>
  <c r="KC9" i="1"/>
  <c r="V29" i="13" l="1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28" i="6"/>
  <c r="V27" i="6"/>
  <c r="T27" i="6"/>
  <c r="V26" i="6"/>
  <c r="V25" i="6"/>
  <c r="V24" i="6"/>
  <c r="V23" i="6"/>
  <c r="N23" i="6"/>
  <c r="V22" i="6"/>
  <c r="V21" i="6"/>
  <c r="V20" i="6"/>
  <c r="V19" i="6"/>
  <c r="N19" i="6"/>
  <c r="V18" i="6"/>
  <c r="V17" i="6"/>
  <c r="V16" i="6"/>
  <c r="V15" i="6"/>
  <c r="V14" i="6"/>
  <c r="H17" i="6"/>
  <c r="V13" i="6"/>
  <c r="V12" i="6"/>
  <c r="N12" i="6"/>
  <c r="V11" i="6"/>
  <c r="V10" i="6"/>
  <c r="V10" i="13"/>
  <c r="H21" i="6" l="1"/>
  <c r="K29" i="6"/>
  <c r="R29" i="6"/>
  <c r="N18" i="6"/>
  <c r="E25" i="6"/>
  <c r="T15" i="6"/>
  <c r="N11" i="6"/>
  <c r="U11" i="6" s="1"/>
  <c r="R25" i="6"/>
  <c r="E17" i="6"/>
  <c r="S17" i="6" s="1"/>
  <c r="R21" i="6"/>
  <c r="K13" i="6"/>
  <c r="H25" i="6"/>
  <c r="H13" i="6"/>
  <c r="T12" i="6"/>
  <c r="N16" i="6"/>
  <c r="U16" i="6" s="1"/>
  <c r="K25" i="6"/>
  <c r="L22" i="6" s="1"/>
  <c r="N28" i="6"/>
  <c r="O28" i="6" s="1"/>
  <c r="N22" i="6"/>
  <c r="U22" i="6" s="1"/>
  <c r="T14" i="6"/>
  <c r="T19" i="6"/>
  <c r="T16" i="6"/>
  <c r="T22" i="6"/>
  <c r="N26" i="6"/>
  <c r="U26" i="6" s="1"/>
  <c r="T10" i="6"/>
  <c r="R13" i="6"/>
  <c r="T11" i="6"/>
  <c r="K17" i="6"/>
  <c r="T20" i="6"/>
  <c r="H29" i="6"/>
  <c r="I14" i="6" s="1"/>
  <c r="T18" i="6"/>
  <c r="I18" i="6"/>
  <c r="E21" i="6"/>
  <c r="S21" i="6" s="1"/>
  <c r="T23" i="6"/>
  <c r="R17" i="6"/>
  <c r="T24" i="6"/>
  <c r="U19" i="6"/>
  <c r="O19" i="6"/>
  <c r="O23" i="6"/>
  <c r="U23" i="6"/>
  <c r="O18" i="6"/>
  <c r="U18" i="6"/>
  <c r="O12" i="6"/>
  <c r="U12" i="6"/>
  <c r="N15" i="6"/>
  <c r="K21" i="6"/>
  <c r="N14" i="6"/>
  <c r="T28" i="6"/>
  <c r="T26" i="6"/>
  <c r="N10" i="6"/>
  <c r="N20" i="6"/>
  <c r="N27" i="6"/>
  <c r="N24" i="6"/>
  <c r="E29" i="6"/>
  <c r="E13" i="6"/>
  <c r="N17" i="6"/>
  <c r="O26" i="6" l="1"/>
  <c r="S25" i="6"/>
  <c r="I22" i="6"/>
  <c r="O16" i="6"/>
  <c r="N25" i="6"/>
  <c r="L10" i="6"/>
  <c r="O11" i="6"/>
  <c r="L26" i="6"/>
  <c r="U28" i="6"/>
  <c r="I10" i="6"/>
  <c r="L18" i="6"/>
  <c r="O22" i="6"/>
  <c r="I26" i="6"/>
  <c r="S13" i="6"/>
  <c r="F10" i="6"/>
  <c r="G10" i="6" s="1"/>
  <c r="N13" i="6"/>
  <c r="F14" i="6"/>
  <c r="G14" i="6" s="1"/>
  <c r="U24" i="6"/>
  <c r="O24" i="6"/>
  <c r="O10" i="6"/>
  <c r="U10" i="6"/>
  <c r="F22" i="6"/>
  <c r="G22" i="6" s="1"/>
  <c r="F18" i="6"/>
  <c r="G18" i="6" s="1"/>
  <c r="N21" i="6"/>
  <c r="U27" i="6"/>
  <c r="O27" i="6"/>
  <c r="U20" i="6"/>
  <c r="O20" i="6"/>
  <c r="U14" i="6"/>
  <c r="O14" i="6"/>
  <c r="L14" i="6"/>
  <c r="O15" i="6"/>
  <c r="U15" i="6"/>
  <c r="S29" i="6"/>
  <c r="N29" i="6"/>
  <c r="F26" i="6"/>
  <c r="G26" i="6" s="1"/>
  <c r="J18" i="6" l="1"/>
  <c r="P22" i="6"/>
  <c r="M22" i="6" s="1"/>
  <c r="J26" i="6"/>
  <c r="P26" i="6"/>
  <c r="M26" i="6" s="1"/>
  <c r="Q26" i="6"/>
  <c r="P14" i="6"/>
  <c r="M14" i="6" s="1"/>
  <c r="Q14" i="6"/>
  <c r="Q10" i="6"/>
  <c r="P10" i="6"/>
  <c r="M10" i="6" s="1"/>
  <c r="E5" i="6" a="1"/>
  <c r="E5" i="6" s="1"/>
  <c r="D5" i="6" s="1"/>
  <c r="E4" i="6" a="1"/>
  <c r="E4" i="6" s="1"/>
  <c r="D4" i="6" s="1"/>
  <c r="Q18" i="6"/>
  <c r="P18" i="6"/>
  <c r="M18" i="6" s="1"/>
  <c r="J22" i="6"/>
  <c r="Q22" i="6"/>
  <c r="J14" i="6"/>
  <c r="J10" i="6"/>
  <c r="E3" i="6" a="1"/>
  <c r="E3" i="6" s="1"/>
  <c r="D3" i="6" s="1"/>
  <c r="E2" i="6" a="1"/>
  <c r="E2" i="6" s="1"/>
  <c r="D2" i="6" s="1"/>
  <c r="BY38" i="2" l="1"/>
  <c r="BY37" i="2"/>
  <c r="BY36" i="2"/>
  <c r="BY35" i="2"/>
  <c r="BY34" i="2"/>
  <c r="BY33" i="2"/>
  <c r="BY32" i="2"/>
  <c r="BY31" i="2"/>
  <c r="BY29" i="2"/>
  <c r="BY28" i="2"/>
  <c r="BY27" i="2"/>
  <c r="BY26" i="2"/>
  <c r="BY25" i="2"/>
  <c r="BY24" i="2"/>
  <c r="BY22" i="2"/>
  <c r="BY21" i="2"/>
  <c r="BY20" i="2"/>
  <c r="BY18" i="2"/>
  <c r="BY17" i="2"/>
  <c r="BY16" i="2"/>
  <c r="BY15" i="2"/>
  <c r="BY14" i="2"/>
  <c r="BY13" i="2"/>
  <c r="BY12" i="2"/>
  <c r="BY11" i="2"/>
  <c r="BY10" i="2"/>
  <c r="BY8" i="2"/>
  <c r="BY7" i="2"/>
  <c r="BY6" i="2"/>
  <c r="BY5" i="2"/>
  <c r="BX38" i="2"/>
  <c r="BX37" i="2"/>
  <c r="BX36" i="2"/>
  <c r="BX35" i="2"/>
  <c r="BX34" i="2"/>
  <c r="BX33" i="2"/>
  <c r="BX32" i="2"/>
  <c r="BX31" i="2"/>
  <c r="BX29" i="2"/>
  <c r="BX28" i="2"/>
  <c r="BX27" i="2"/>
  <c r="BX26" i="2"/>
  <c r="BX25" i="2"/>
  <c r="BX24" i="2"/>
  <c r="BX22" i="2"/>
  <c r="BX21" i="2"/>
  <c r="BX20" i="2"/>
  <c r="BX18" i="2"/>
  <c r="BX17" i="2"/>
  <c r="BX16" i="2"/>
  <c r="BX15" i="2"/>
  <c r="BX14" i="2"/>
  <c r="BX13" i="2"/>
  <c r="BX12" i="2"/>
  <c r="BX11" i="2"/>
  <c r="BX10" i="2"/>
  <c r="BX8" i="2"/>
  <c r="BX7" i="2"/>
  <c r="BX6" i="2"/>
  <c r="BX5" i="2"/>
  <c r="O28" i="10" l="1"/>
  <c r="O27" i="10"/>
  <c r="O26" i="10"/>
  <c r="O25" i="10"/>
  <c r="O23" i="10"/>
  <c r="O22" i="10"/>
  <c r="O21" i="10"/>
  <c r="O20" i="10"/>
  <c r="O18" i="10"/>
  <c r="O17" i="10"/>
  <c r="O16" i="10"/>
  <c r="O15" i="10"/>
  <c r="O13" i="10"/>
  <c r="BW33" i="2"/>
  <c r="BW36" i="2"/>
  <c r="BW37" i="2"/>
  <c r="BW9" i="2"/>
  <c r="BW10" i="2"/>
  <c r="BW38" i="2"/>
  <c r="BW22" i="2"/>
  <c r="BW14" i="2"/>
  <c r="BW27" i="2"/>
  <c r="BW19" i="2"/>
  <c r="BW24" i="2"/>
  <c r="BW23" i="2"/>
  <c r="BW32" i="2"/>
  <c r="BW20" i="2"/>
  <c r="BW11" i="2"/>
  <c r="BW31" i="2"/>
  <c r="BW30" i="2"/>
  <c r="BW34" i="2"/>
  <c r="BW18" i="2"/>
  <c r="BW29" i="2"/>
  <c r="BW6" i="2"/>
  <c r="BW21" i="2"/>
  <c r="A3" i="11"/>
  <c r="BV9" i="2" l="1"/>
  <c r="BV19" i="2"/>
  <c r="BV23" i="2"/>
  <c r="BV30" i="2"/>
  <c r="O11" i="10" l="1"/>
  <c r="O12" i="10"/>
  <c r="O10" i="10"/>
  <c r="O28" i="8"/>
  <c r="O27" i="8"/>
  <c r="O26" i="8"/>
  <c r="O24" i="8"/>
  <c r="O23" i="8"/>
  <c r="O22" i="8"/>
  <c r="O20" i="8"/>
  <c r="O19" i="8"/>
  <c r="O18" i="8"/>
  <c r="O16" i="8"/>
  <c r="O15" i="8"/>
  <c r="O14" i="8"/>
  <c r="O12" i="8"/>
  <c r="O11" i="8"/>
  <c r="O10" i="8"/>
  <c r="V27" i="10" l="1"/>
  <c r="V22" i="10"/>
  <c r="V17" i="10"/>
  <c r="V12" i="10"/>
  <c r="U12" i="10" l="1"/>
  <c r="U17" i="10"/>
  <c r="U22" i="10"/>
  <c r="U27" i="10"/>
  <c r="T27" i="10"/>
  <c r="T22" i="10"/>
  <c r="T17" i="10"/>
  <c r="T12" i="10"/>
  <c r="U21" i="10" l="1"/>
  <c r="T15" i="10"/>
  <c r="U18" i="10"/>
  <c r="V29" i="10"/>
  <c r="V28" i="10"/>
  <c r="V26" i="10"/>
  <c r="V25" i="10"/>
  <c r="V24" i="10"/>
  <c r="V23" i="10"/>
  <c r="V21" i="10"/>
  <c r="V20" i="10"/>
  <c r="V19" i="10"/>
  <c r="V18" i="10"/>
  <c r="V16" i="10"/>
  <c r="V15" i="10"/>
  <c r="V14" i="10"/>
  <c r="V13" i="10"/>
  <c r="V11" i="10"/>
  <c r="V10" i="10"/>
  <c r="T25" i="10" l="1"/>
  <c r="U20" i="10"/>
  <c r="T26" i="10"/>
  <c r="U16" i="10"/>
  <c r="U23" i="10"/>
  <c r="T16" i="10"/>
  <c r="U26" i="10"/>
  <c r="U28" i="10"/>
  <c r="T23" i="10"/>
  <c r="U11" i="10"/>
  <c r="U13" i="10"/>
  <c r="U10" i="10"/>
  <c r="T10" i="10"/>
  <c r="T11" i="10"/>
  <c r="T13" i="10"/>
  <c r="T18" i="10"/>
  <c r="T20" i="10"/>
  <c r="T28" i="10"/>
  <c r="U15" i="10"/>
  <c r="T21" i="10"/>
  <c r="U25" i="10"/>
  <c r="S24" i="10" l="1"/>
  <c r="S29" i="10"/>
  <c r="S14" i="10"/>
  <c r="S19" i="10"/>
  <c r="BW1" i="2" l="1"/>
  <c r="BV1" i="2"/>
  <c r="E1" i="2"/>
  <c r="D1" i="2"/>
  <c r="C1" i="2"/>
  <c r="A1" i="2"/>
  <c r="V28" i="8"/>
  <c r="V27" i="8"/>
  <c r="V26" i="8"/>
  <c r="V25" i="8"/>
  <c r="V24" i="8"/>
  <c r="V23" i="8"/>
  <c r="V22" i="8"/>
  <c r="V21" i="8"/>
  <c r="V20" i="8"/>
  <c r="V19" i="8"/>
  <c r="V18" i="8"/>
  <c r="V17" i="8"/>
  <c r="V16" i="8"/>
  <c r="V15" i="8"/>
  <c r="V14" i="8"/>
  <c r="V13" i="8"/>
  <c r="V12" i="8"/>
  <c r="V11" i="8"/>
  <c r="V10" i="8"/>
  <c r="S30" i="22" l="1"/>
  <c r="S17" i="22"/>
  <c r="S26" i="22"/>
  <c r="S21" i="22"/>
  <c r="S16" i="22"/>
  <c r="K28" i="22"/>
  <c r="K29" i="22" s="1"/>
  <c r="S20" i="22"/>
  <c r="H28" i="22"/>
  <c r="H29" i="22" s="1"/>
  <c r="S15" i="22"/>
  <c r="E28" i="22"/>
  <c r="S27" i="22"/>
  <c r="S22" i="22"/>
  <c r="S21" i="21"/>
  <c r="S15" i="21"/>
  <c r="S14" i="21"/>
  <c r="K27" i="21"/>
  <c r="K28" i="21" s="1"/>
  <c r="S24" i="21"/>
  <c r="E27" i="21"/>
  <c r="S20" i="21"/>
  <c r="S19" i="21"/>
  <c r="H27" i="21"/>
  <c r="H28" i="21" s="1"/>
  <c r="S16" i="21"/>
  <c r="S25" i="21"/>
  <c r="S29" i="21"/>
  <c r="S26" i="21"/>
  <c r="S26" i="20"/>
  <c r="S16" i="20"/>
  <c r="S20" i="20"/>
  <c r="S15" i="20"/>
  <c r="S24" i="20"/>
  <c r="S36" i="20"/>
  <c r="S29" i="20"/>
  <c r="S25" i="20"/>
  <c r="S19" i="20"/>
  <c r="K27" i="20"/>
  <c r="K28" i="20" s="1"/>
  <c r="S14" i="20"/>
  <c r="H27" i="20"/>
  <c r="H28" i="20" s="1"/>
  <c r="S34" i="20"/>
  <c r="E27" i="20"/>
  <c r="S26" i="19"/>
  <c r="S29" i="19"/>
  <c r="S21" i="19"/>
  <c r="E27" i="19"/>
  <c r="R23" i="19"/>
  <c r="S25" i="19"/>
  <c r="S16" i="19"/>
  <c r="S20" i="19"/>
  <c r="R33" i="19"/>
  <c r="R28" i="19"/>
  <c r="R18" i="19"/>
  <c r="K27" i="19"/>
  <c r="K28" i="19" s="1"/>
  <c r="S24" i="19"/>
  <c r="S15" i="19"/>
  <c r="S31" i="19"/>
  <c r="S14" i="19"/>
  <c r="H27" i="19"/>
  <c r="H28" i="19" s="1"/>
  <c r="S19" i="19"/>
  <c r="R17" i="19"/>
  <c r="R32" i="19"/>
  <c r="R22" i="19"/>
  <c r="R19" i="19"/>
  <c r="R16" i="19"/>
  <c r="R25" i="19"/>
  <c r="R20" i="19"/>
  <c r="R15" i="19"/>
  <c r="R31" i="19"/>
  <c r="R30" i="19"/>
  <c r="S20" i="18"/>
  <c r="S16" i="18"/>
  <c r="S29" i="18"/>
  <c r="S24" i="18"/>
  <c r="S15" i="18"/>
  <c r="R23" i="18"/>
  <c r="R33" i="18"/>
  <c r="S19" i="18"/>
  <c r="R28" i="18"/>
  <c r="S14" i="18"/>
  <c r="E27" i="18"/>
  <c r="R18" i="18"/>
  <c r="S30" i="18"/>
  <c r="H27" i="18"/>
  <c r="H28" i="18" s="1"/>
  <c r="S21" i="18"/>
  <c r="K27" i="18"/>
  <c r="K28" i="18" s="1"/>
  <c r="S31" i="18"/>
  <c r="S26" i="18"/>
  <c r="S25" i="18"/>
  <c r="R32" i="18"/>
  <c r="R17" i="18"/>
  <c r="R22" i="18"/>
  <c r="R21" i="18"/>
  <c r="R14" i="18"/>
  <c r="R24" i="18"/>
  <c r="R25" i="18"/>
  <c r="R29" i="18"/>
  <c r="R30" i="18"/>
  <c r="K31" i="15"/>
  <c r="E19" i="15"/>
  <c r="E26" i="15"/>
  <c r="H19" i="15"/>
  <c r="K16" i="15"/>
  <c r="H16" i="15"/>
  <c r="K26" i="15"/>
  <c r="E16" i="15"/>
  <c r="K19" i="15"/>
  <c r="E31" i="15"/>
  <c r="S31" i="15"/>
  <c r="K29" i="15"/>
  <c r="S25" i="15"/>
  <c r="K20" i="15"/>
  <c r="S14" i="15"/>
  <c r="K30" i="15"/>
  <c r="S15" i="15"/>
  <c r="K24" i="15"/>
  <c r="E27" i="15"/>
  <c r="K25" i="15"/>
  <c r="H20" i="15"/>
  <c r="S16" i="15"/>
  <c r="S26" i="15"/>
  <c r="H24" i="15"/>
  <c r="K14" i="15"/>
  <c r="S30" i="15"/>
  <c r="E29" i="15"/>
  <c r="S21" i="15"/>
  <c r="E20" i="15"/>
  <c r="K21" i="15"/>
  <c r="R18" i="15"/>
  <c r="R33" i="15"/>
  <c r="E14" i="15"/>
  <c r="H30" i="15"/>
  <c r="R28" i="15"/>
  <c r="S19" i="15"/>
  <c r="K15" i="15"/>
  <c r="S27" i="15"/>
  <c r="E15" i="15"/>
  <c r="E30" i="15"/>
  <c r="S24" i="15"/>
  <c r="E21" i="15"/>
  <c r="S29" i="15"/>
  <c r="K27" i="15"/>
  <c r="R23" i="15"/>
  <c r="S20" i="15"/>
  <c r="E24" i="15"/>
  <c r="E25" i="15"/>
  <c r="R22" i="15"/>
  <c r="R17" i="15"/>
  <c r="R32" i="15"/>
  <c r="S16" i="13"/>
  <c r="S11" i="13"/>
  <c r="S10" i="13"/>
  <c r="R19" i="13"/>
  <c r="S15" i="13"/>
  <c r="S12" i="13"/>
  <c r="R14" i="13"/>
  <c r="S28" i="13"/>
  <c r="S27" i="13"/>
  <c r="R29" i="13"/>
  <c r="S26" i="13"/>
  <c r="S13" i="13"/>
  <c r="S25" i="13"/>
  <c r="S23" i="13"/>
  <c r="S22" i="13"/>
  <c r="S21" i="13"/>
  <c r="R24" i="13"/>
  <c r="S20" i="13"/>
  <c r="S18" i="13"/>
  <c r="S17" i="13"/>
  <c r="S28" i="10"/>
  <c r="S28" i="8"/>
  <c r="S22" i="8"/>
  <c r="S27" i="10"/>
  <c r="S27" i="8"/>
  <c r="S26" i="10"/>
  <c r="S26" i="8"/>
  <c r="S25" i="10"/>
  <c r="S23" i="10"/>
  <c r="S23" i="8"/>
  <c r="S14" i="8"/>
  <c r="S22" i="10"/>
  <c r="S21" i="10"/>
  <c r="S20" i="8"/>
  <c r="S15" i="8"/>
  <c r="S20" i="10"/>
  <c r="S19" i="8"/>
  <c r="S16" i="8"/>
  <c r="S18" i="10"/>
  <c r="S18" i="8"/>
  <c r="S17" i="10"/>
  <c r="S16" i="10"/>
  <c r="S15" i="10"/>
  <c r="S13" i="10"/>
  <c r="S12" i="8"/>
  <c r="S11" i="8"/>
  <c r="S24" i="8"/>
  <c r="S12" i="10"/>
  <c r="S11" i="10"/>
  <c r="S10" i="8"/>
  <c r="S10" i="10"/>
  <c r="U23" i="8"/>
  <c r="U12" i="8"/>
  <c r="T20" i="8"/>
  <c r="U26" i="8"/>
  <c r="U16" i="8"/>
  <c r="T28" i="8"/>
  <c r="U10" i="8"/>
  <c r="U15" i="8"/>
  <c r="U20" i="8"/>
  <c r="T10" i="8"/>
  <c r="U11" i="8"/>
  <c r="T18" i="8"/>
  <c r="T22" i="8"/>
  <c r="T23" i="8"/>
  <c r="U24" i="8"/>
  <c r="U27" i="8"/>
  <c r="T12" i="8"/>
  <c r="T14" i="8"/>
  <c r="T15" i="8"/>
  <c r="U18" i="8"/>
  <c r="U19" i="8"/>
  <c r="U28" i="8"/>
  <c r="T11" i="8"/>
  <c r="T16" i="8"/>
  <c r="T24" i="8"/>
  <c r="T26" i="8"/>
  <c r="U14" i="8"/>
  <c r="T19" i="8"/>
  <c r="U22" i="8"/>
  <c r="T27" i="8"/>
  <c r="L14" i="21" l="1"/>
  <c r="L29" i="21"/>
  <c r="L19" i="21"/>
  <c r="L24" i="21"/>
  <c r="I30" i="22"/>
  <c r="I25" i="22"/>
  <c r="I20" i="22"/>
  <c r="I15" i="22"/>
  <c r="L20" i="22"/>
  <c r="L30" i="22"/>
  <c r="L25" i="22"/>
  <c r="L15" i="22"/>
  <c r="I24" i="20"/>
  <c r="I14" i="20"/>
  <c r="I29" i="20"/>
  <c r="I19" i="20"/>
  <c r="I34" i="20"/>
  <c r="I29" i="21"/>
  <c r="I14" i="21"/>
  <c r="I24" i="21"/>
  <c r="I19" i="21"/>
  <c r="N27" i="20"/>
  <c r="O27" i="20" s="1"/>
  <c r="R27" i="20" s="1"/>
  <c r="E28" i="20"/>
  <c r="L24" i="20"/>
  <c r="L34" i="20"/>
  <c r="L14" i="20"/>
  <c r="L19" i="20"/>
  <c r="L29" i="20"/>
  <c r="E28" i="21"/>
  <c r="N27" i="21"/>
  <c r="O27" i="21" s="1"/>
  <c r="R27" i="21" s="1"/>
  <c r="E29" i="22"/>
  <c r="N28" i="22"/>
  <c r="O28" i="22" s="1"/>
  <c r="R28" i="22" s="1"/>
  <c r="N27" i="18"/>
  <c r="O27" i="18" s="1"/>
  <c r="R27" i="18" s="1"/>
  <c r="E28" i="18"/>
  <c r="L24" i="18"/>
  <c r="L29" i="18"/>
  <c r="L14" i="18"/>
  <c r="L19" i="18"/>
  <c r="L24" i="19"/>
  <c r="L29" i="19"/>
  <c r="L19" i="19"/>
  <c r="L14" i="19"/>
  <c r="N27" i="19"/>
  <c r="O27" i="19" s="1"/>
  <c r="R27" i="19" s="1"/>
  <c r="E28" i="19"/>
  <c r="I14" i="18"/>
  <c r="I24" i="18"/>
  <c r="I19" i="18"/>
  <c r="I29" i="18"/>
  <c r="I14" i="19"/>
  <c r="I19" i="19"/>
  <c r="I24" i="19"/>
  <c r="I29" i="19"/>
  <c r="K23" i="15"/>
  <c r="N24" i="15"/>
  <c r="E28" i="15"/>
  <c r="E33" i="15"/>
  <c r="N30" i="15"/>
  <c r="N19" i="15"/>
  <c r="E23" i="15"/>
  <c r="K18" i="15"/>
  <c r="N16" i="15"/>
  <c r="K33" i="15"/>
  <c r="K28" i="15"/>
  <c r="E18" i="15"/>
  <c r="N20" i="15"/>
  <c r="K19" i="13"/>
  <c r="T23" i="13"/>
  <c r="K24" i="13"/>
  <c r="K29" i="13"/>
  <c r="T20" i="13"/>
  <c r="E24" i="13"/>
  <c r="N20" i="13"/>
  <c r="T15" i="13"/>
  <c r="E19" i="13"/>
  <c r="N15" i="13"/>
  <c r="N26" i="13"/>
  <c r="T26" i="13"/>
  <c r="N21" i="13"/>
  <c r="T21" i="13"/>
  <c r="N23" i="13"/>
  <c r="E14" i="13"/>
  <c r="N25" i="13"/>
  <c r="T25" i="13"/>
  <c r="E29" i="13"/>
  <c r="N12" i="13"/>
  <c r="T12" i="13"/>
  <c r="E2" i="10" a="1"/>
  <c r="E2" i="10" s="1"/>
  <c r="D2" i="10" s="1"/>
  <c r="E5" i="10" a="1"/>
  <c r="E5" i="10" s="1"/>
  <c r="D5" i="10" s="1"/>
  <c r="E3" i="10" a="1"/>
  <c r="E3" i="10" s="1"/>
  <c r="D3" i="10" s="1"/>
  <c r="E4" i="10" a="1"/>
  <c r="E4" i="10" s="1"/>
  <c r="D4" i="10" s="1"/>
  <c r="S17" i="8"/>
  <c r="S13" i="8"/>
  <c r="S25" i="8"/>
  <c r="S29" i="8"/>
  <c r="S21" i="8"/>
  <c r="F15" i="22" l="1"/>
  <c r="G15" i="22" s="1"/>
  <c r="F20" i="22"/>
  <c r="G20" i="22" s="1"/>
  <c r="N29" i="22"/>
  <c r="F30" i="22"/>
  <c r="G30" i="22" s="1"/>
  <c r="F25" i="22"/>
  <c r="G25" i="22" s="1"/>
  <c r="W29" i="22"/>
  <c r="N28" i="20"/>
  <c r="T28" i="20"/>
  <c r="W28" i="20"/>
  <c r="F14" i="20"/>
  <c r="G14" i="20" s="1"/>
  <c r="F34" i="20"/>
  <c r="G34" i="20" s="1"/>
  <c r="F29" i="20"/>
  <c r="G29" i="20" s="1"/>
  <c r="F19" i="20"/>
  <c r="G19" i="20" s="1"/>
  <c r="F24" i="20"/>
  <c r="G24" i="20" s="1"/>
  <c r="F24" i="21"/>
  <c r="G24" i="21" s="1"/>
  <c r="F19" i="21"/>
  <c r="G19" i="21" s="1"/>
  <c r="W28" i="21"/>
  <c r="T28" i="21"/>
  <c r="F29" i="21"/>
  <c r="G29" i="21" s="1"/>
  <c r="F14" i="21"/>
  <c r="G14" i="21" s="1"/>
  <c r="N28" i="21"/>
  <c r="N28" i="18"/>
  <c r="F29" i="18"/>
  <c r="G29" i="18" s="1"/>
  <c r="F14" i="18"/>
  <c r="G14" i="18" s="1"/>
  <c r="W28" i="18"/>
  <c r="F19" i="18"/>
  <c r="G19" i="18" s="1"/>
  <c r="F24" i="18"/>
  <c r="G24" i="18" s="1"/>
  <c r="T28" i="18"/>
  <c r="T28" i="19"/>
  <c r="F29" i="19"/>
  <c r="G29" i="19" s="1"/>
  <c r="N28" i="19"/>
  <c r="F24" i="19"/>
  <c r="G24" i="19" s="1"/>
  <c r="F14" i="19"/>
  <c r="G14" i="19" s="1"/>
  <c r="W28" i="19"/>
  <c r="F19" i="19"/>
  <c r="G19" i="19" s="1"/>
  <c r="L19" i="15"/>
  <c r="L29" i="15"/>
  <c r="F29" i="15"/>
  <c r="G29" i="15" s="1"/>
  <c r="O20" i="15"/>
  <c r="R20" i="15" s="1"/>
  <c r="O19" i="15"/>
  <c r="R19" i="15" s="1"/>
  <c r="O16" i="15"/>
  <c r="R16" i="15" s="1"/>
  <c r="O30" i="15"/>
  <c r="R30" i="15" s="1"/>
  <c r="F14" i="15"/>
  <c r="G14" i="15" s="1"/>
  <c r="L14" i="15"/>
  <c r="F19" i="15"/>
  <c r="G19" i="15" s="1"/>
  <c r="F24" i="15"/>
  <c r="G24" i="15" s="1"/>
  <c r="L24" i="15"/>
  <c r="O24" i="15"/>
  <c r="R24" i="15" s="1"/>
  <c r="F15" i="13"/>
  <c r="G15" i="13" s="1"/>
  <c r="O25" i="13"/>
  <c r="R25" i="13" s="1"/>
  <c r="U25" i="13"/>
  <c r="O15" i="13"/>
  <c r="R15" i="13" s="1"/>
  <c r="U15" i="13"/>
  <c r="O23" i="13"/>
  <c r="R23" i="13" s="1"/>
  <c r="U23" i="13"/>
  <c r="O12" i="13"/>
  <c r="R12" i="13" s="1"/>
  <c r="U12" i="13"/>
  <c r="F25" i="13"/>
  <c r="G25" i="13" s="1"/>
  <c r="O20" i="13"/>
  <c r="R20" i="13" s="1"/>
  <c r="U20" i="13"/>
  <c r="O21" i="13"/>
  <c r="R21" i="13" s="1"/>
  <c r="U21" i="13"/>
  <c r="F20" i="13"/>
  <c r="G20" i="13" s="1"/>
  <c r="F10" i="13"/>
  <c r="G10" i="13" s="1"/>
  <c r="O26" i="13"/>
  <c r="R26" i="13" s="1"/>
  <c r="U26" i="13"/>
  <c r="E5" i="8" a="1"/>
  <c r="E5" i="8" s="1"/>
  <c r="D5" i="8" s="1"/>
  <c r="E4" i="8" a="1"/>
  <c r="E4" i="8" s="1"/>
  <c r="D4" i="8" s="1"/>
  <c r="E2" i="8" a="1"/>
  <c r="E2" i="8" s="1"/>
  <c r="D2" i="8" s="1"/>
  <c r="E3" i="8" a="1"/>
  <c r="E3" i="8" s="1"/>
  <c r="D3" i="8" s="1"/>
  <c r="S28" i="20" l="1"/>
  <c r="P19" i="20"/>
  <c r="M19" i="20" s="1"/>
  <c r="Q34" i="20"/>
  <c r="Q14" i="20"/>
  <c r="P14" i="20"/>
  <c r="M14" i="20" s="1"/>
  <c r="Q29" i="20"/>
  <c r="Q24" i="20"/>
  <c r="P34" i="20"/>
  <c r="M34" i="20" s="1"/>
  <c r="Q19" i="20"/>
  <c r="P24" i="20"/>
  <c r="M24" i="20" s="1"/>
  <c r="P29" i="20"/>
  <c r="M29" i="20" s="1"/>
  <c r="J15" i="22"/>
  <c r="J20" i="22"/>
  <c r="J30" i="22"/>
  <c r="J25" i="22"/>
  <c r="P15" i="22"/>
  <c r="M15" i="22" s="1"/>
  <c r="S29" i="22"/>
  <c r="P30" i="22"/>
  <c r="M30" i="22" s="1"/>
  <c r="P25" i="22"/>
  <c r="M25" i="22" s="1"/>
  <c r="Q20" i="22"/>
  <c r="Q30" i="22"/>
  <c r="Q15" i="22"/>
  <c r="Q25" i="22"/>
  <c r="P20" i="22"/>
  <c r="M20" i="22" s="1"/>
  <c r="S28" i="21"/>
  <c r="P24" i="21"/>
  <c r="M24" i="21" s="1"/>
  <c r="Q29" i="21"/>
  <c r="Q24" i="21"/>
  <c r="Q19" i="21"/>
  <c r="P14" i="21"/>
  <c r="M14" i="21" s="1"/>
  <c r="Q14" i="21"/>
  <c r="P19" i="21"/>
  <c r="M19" i="21" s="1"/>
  <c r="P29" i="21"/>
  <c r="M29" i="21" s="1"/>
  <c r="J19" i="21"/>
  <c r="J24" i="21"/>
  <c r="J14" i="21"/>
  <c r="J29" i="21"/>
  <c r="J34" i="20"/>
  <c r="J19" i="20"/>
  <c r="J14" i="20"/>
  <c r="J24" i="20"/>
  <c r="J29" i="20"/>
  <c r="J24" i="19"/>
  <c r="J29" i="19"/>
  <c r="J14" i="19"/>
  <c r="J19" i="19"/>
  <c r="P24" i="19"/>
  <c r="M24" i="19" s="1"/>
  <c r="S28" i="19"/>
  <c r="E2" i="19" s="1" a="1"/>
  <c r="E2" i="19" s="1"/>
  <c r="Q14" i="19"/>
  <c r="Q24" i="19"/>
  <c r="P14" i="19"/>
  <c r="M14" i="19" s="1"/>
  <c r="P19" i="19"/>
  <c r="M19" i="19" s="1"/>
  <c r="Q29" i="19"/>
  <c r="Q19" i="19"/>
  <c r="P29" i="19"/>
  <c r="M29" i="19" s="1"/>
  <c r="J24" i="18"/>
  <c r="J29" i="18"/>
  <c r="J14" i="18"/>
  <c r="J19" i="18"/>
  <c r="S28" i="18"/>
  <c r="Q19" i="18"/>
  <c r="P14" i="18"/>
  <c r="M14" i="18" s="1"/>
  <c r="P19" i="18"/>
  <c r="M19" i="18" s="1"/>
  <c r="P24" i="18"/>
  <c r="M24" i="18" s="1"/>
  <c r="Q24" i="18"/>
  <c r="Q14" i="18"/>
  <c r="P29" i="18"/>
  <c r="M29" i="18" s="1"/>
  <c r="Q29" i="18"/>
  <c r="E2" i="21" l="1" a="1"/>
  <c r="E2" i="21" s="1"/>
  <c r="D2" i="21" s="1"/>
  <c r="E5" i="21" a="1"/>
  <c r="E5" i="21" s="1"/>
  <c r="D5" i="21" s="1"/>
  <c r="E3" i="21" a="1"/>
  <c r="E3" i="21" s="1"/>
  <c r="D3" i="21" s="1"/>
  <c r="E4" i="21" a="1"/>
  <c r="E4" i="21" s="1"/>
  <c r="D4" i="21" s="1"/>
  <c r="E2" i="22" a="1"/>
  <c r="E2" i="22" s="1"/>
  <c r="D2" i="22" s="1"/>
  <c r="E5" i="22" a="1"/>
  <c r="E5" i="22" s="1"/>
  <c r="D5" i="22" s="1"/>
  <c r="E4" i="22" a="1"/>
  <c r="E4" i="22" s="1"/>
  <c r="D4" i="22" s="1"/>
  <c r="E3" i="22" a="1"/>
  <c r="E3" i="22" s="1"/>
  <c r="D3" i="22" s="1"/>
  <c r="E4" i="20" a="1"/>
  <c r="E4" i="20" s="1"/>
  <c r="D4" i="20" s="1"/>
  <c r="E3" i="20" a="1"/>
  <c r="E3" i="20" s="1"/>
  <c r="D3" i="20" s="1"/>
  <c r="E2" i="20" a="1"/>
  <c r="E2" i="20" s="1"/>
  <c r="D2" i="20" s="1"/>
  <c r="E5" i="20" a="1"/>
  <c r="E5" i="20" s="1"/>
  <c r="D5" i="20" s="1"/>
  <c r="E3" i="19" a="1"/>
  <c r="E3" i="19" s="1"/>
  <c r="D3" i="19" s="1"/>
  <c r="D2" i="19"/>
  <c r="E5" i="19" a="1"/>
  <c r="E5" i="19" s="1"/>
  <c r="D5" i="19" s="1"/>
  <c r="E4" i="19" a="1"/>
  <c r="E4" i="19" s="1"/>
  <c r="D4" i="19" s="1"/>
  <c r="E5" i="18" a="1"/>
  <c r="E5" i="18" s="1"/>
  <c r="D5" i="18" s="1"/>
  <c r="E4" i="18" a="1"/>
  <c r="E4" i="18" s="1"/>
  <c r="D4" i="18" s="1"/>
  <c r="E3" i="18" a="1"/>
  <c r="E3" i="18" s="1"/>
  <c r="D3" i="18" s="1"/>
  <c r="E2" i="18" a="1"/>
  <c r="E2" i="18" s="1"/>
  <c r="D2" i="18" s="1"/>
  <c r="BV4" i="2"/>
  <c r="BW5" i="2" l="1"/>
  <c r="BW8" i="2"/>
  <c r="BW35" i="2"/>
  <c r="BW15" i="2"/>
  <c r="BW12" i="2"/>
  <c r="BW25" i="2"/>
  <c r="BW28" i="2"/>
  <c r="BW26" i="2"/>
  <c r="BW17" i="2"/>
  <c r="BW7" i="2"/>
  <c r="R31" i="18" s="1"/>
  <c r="BW16" i="2"/>
  <c r="BW13" i="2"/>
  <c r="BW4" i="2"/>
  <c r="KF5" i="1"/>
  <c r="KC3" i="1"/>
  <c r="KD3" i="1" s="1"/>
  <c r="R16" i="18" l="1"/>
  <c r="R29" i="19"/>
  <c r="R26" i="18"/>
  <c r="R24" i="19"/>
  <c r="R21" i="19"/>
  <c r="R15" i="18"/>
  <c r="R14" i="19"/>
  <c r="R20" i="18"/>
  <c r="R19" i="18"/>
  <c r="R26" i="19"/>
  <c r="H31" i="15"/>
  <c r="N31" i="15" s="1"/>
  <c r="O31" i="15" s="1"/>
  <c r="R31" i="15" s="1"/>
  <c r="H15" i="15"/>
  <c r="N15" i="15" s="1"/>
  <c r="O15" i="15" s="1"/>
  <c r="R15" i="15" s="1"/>
  <c r="H29" i="15"/>
  <c r="H26" i="15"/>
  <c r="N26" i="15" s="1"/>
  <c r="O26" i="15" s="1"/>
  <c r="R26" i="15" s="1"/>
  <c r="H25" i="15"/>
  <c r="H14" i="15"/>
  <c r="H27" i="15"/>
  <c r="N27" i="15" s="1"/>
  <c r="O27" i="15" s="1"/>
  <c r="R27" i="15" s="1"/>
  <c r="H21" i="15"/>
  <c r="KE3" i="1"/>
  <c r="KF9" i="1"/>
  <c r="KF13" i="1"/>
  <c r="KF34" i="1"/>
  <c r="KF11" i="1"/>
  <c r="KF26" i="1"/>
  <c r="KF6" i="1"/>
  <c r="KF16" i="1"/>
  <c r="KF3" i="1"/>
  <c r="KF37" i="1"/>
  <c r="KF24" i="1"/>
  <c r="KF27" i="1"/>
  <c r="KF23" i="1"/>
  <c r="KF30" i="1"/>
  <c r="KF28" i="1"/>
  <c r="KF19" i="1"/>
  <c r="KF17" i="1"/>
  <c r="KF29" i="1"/>
  <c r="KF8" i="1"/>
  <c r="KF15" i="1"/>
  <c r="KF36" i="1"/>
  <c r="KF12" i="1"/>
  <c r="KF14" i="1"/>
  <c r="KF25" i="1"/>
  <c r="KF21" i="1"/>
  <c r="KF31" i="1"/>
  <c r="KF10" i="1"/>
  <c r="KF32" i="1"/>
  <c r="KF20" i="1"/>
  <c r="KF35" i="1"/>
  <c r="KF4" i="1"/>
  <c r="KF7" i="1"/>
  <c r="KF18" i="1"/>
  <c r="KF22" i="1"/>
  <c r="KF33" i="1"/>
  <c r="H23" i="15" l="1"/>
  <c r="W23" i="15" s="1"/>
  <c r="N21" i="15"/>
  <c r="O21" i="15" s="1"/>
  <c r="R21" i="15" s="1"/>
  <c r="N28" i="13"/>
  <c r="T28" i="13"/>
  <c r="N18" i="13"/>
  <c r="T18" i="13"/>
  <c r="T22" i="13"/>
  <c r="N22" i="13"/>
  <c r="H24" i="13"/>
  <c r="H33" i="15"/>
  <c r="W33" i="15" s="1"/>
  <c r="N29" i="15"/>
  <c r="O29" i="15" s="1"/>
  <c r="R29" i="15" s="1"/>
  <c r="H18" i="15"/>
  <c r="W18" i="15" s="1"/>
  <c r="N14" i="15"/>
  <c r="O14" i="15" s="1"/>
  <c r="R14" i="15" s="1"/>
  <c r="H14" i="13"/>
  <c r="N11" i="13"/>
  <c r="T11" i="13"/>
  <c r="H19" i="13"/>
  <c r="N16" i="13"/>
  <c r="T16" i="13"/>
  <c r="H28" i="15"/>
  <c r="W28" i="15" s="1"/>
  <c r="J24" i="15" s="1"/>
  <c r="N25" i="15"/>
  <c r="O25" i="15" s="1"/>
  <c r="R25" i="15" s="1"/>
  <c r="N27" i="13"/>
  <c r="H29" i="13"/>
  <c r="T27" i="13"/>
  <c r="N13" i="13"/>
  <c r="T13" i="13"/>
  <c r="T17" i="13"/>
  <c r="N17" i="13"/>
  <c r="J29" i="15" l="1"/>
  <c r="J14" i="15"/>
  <c r="J19" i="15"/>
  <c r="N23" i="15"/>
  <c r="U22" i="13"/>
  <c r="O22" i="13"/>
  <c r="R22" i="13" s="1"/>
  <c r="O11" i="13"/>
  <c r="R11" i="13" s="1"/>
  <c r="U11" i="13"/>
  <c r="S14" i="13"/>
  <c r="I10" i="13"/>
  <c r="O18" i="13"/>
  <c r="R18" i="13" s="1"/>
  <c r="U18" i="13"/>
  <c r="T29" i="13"/>
  <c r="I25" i="13"/>
  <c r="N29" i="13"/>
  <c r="S29" i="13"/>
  <c r="T28" i="15"/>
  <c r="N28" i="15"/>
  <c r="I24" i="15"/>
  <c r="T18" i="15"/>
  <c r="N18" i="15"/>
  <c r="I14" i="15"/>
  <c r="O28" i="13"/>
  <c r="R28" i="13" s="1"/>
  <c r="U28" i="13"/>
  <c r="N33" i="15"/>
  <c r="T33" i="15"/>
  <c r="I29" i="15"/>
  <c r="U27" i="13"/>
  <c r="O27" i="13"/>
  <c r="R27" i="13" s="1"/>
  <c r="U17" i="13"/>
  <c r="O17" i="13"/>
  <c r="R17" i="13" s="1"/>
  <c r="O16" i="13"/>
  <c r="R16" i="13" s="1"/>
  <c r="U16" i="13"/>
  <c r="O13" i="13"/>
  <c r="R13" i="13" s="1"/>
  <c r="U13" i="13"/>
  <c r="N19" i="13"/>
  <c r="I15" i="13"/>
  <c r="S19" i="13"/>
  <c r="T19" i="13"/>
  <c r="N24" i="13"/>
  <c r="I20" i="13"/>
  <c r="T24" i="13"/>
  <c r="S24" i="13"/>
  <c r="T23" i="15"/>
  <c r="I19" i="15"/>
  <c r="J20" i="13" l="1"/>
  <c r="J25" i="13"/>
  <c r="J10" i="13"/>
  <c r="J15" i="13"/>
  <c r="Q14" i="15"/>
  <c r="Q24" i="15"/>
  <c r="P14" i="15"/>
  <c r="M14" i="15" s="1"/>
  <c r="Q29" i="15"/>
  <c r="S18" i="15"/>
  <c r="Q19" i="15"/>
  <c r="U29" i="13"/>
  <c r="S23" i="15"/>
  <c r="P19" i="15"/>
  <c r="M19" i="15" s="1"/>
  <c r="U19" i="13"/>
  <c r="U24" i="13"/>
  <c r="S28" i="15"/>
  <c r="P24" i="15"/>
  <c r="M24" i="15" s="1"/>
  <c r="S33" i="15"/>
  <c r="P29" i="15"/>
  <c r="M29" i="15" s="1"/>
  <c r="K14" i="13" l="1"/>
  <c r="N10" i="13"/>
  <c r="T10" i="13"/>
  <c r="E2" i="15" a="1"/>
  <c r="E2" i="15" s="1"/>
  <c r="D2" i="15" s="1"/>
  <c r="E4" i="15" a="1"/>
  <c r="E4" i="15" s="1"/>
  <c r="D4" i="15" s="1"/>
  <c r="E3" i="15" a="1"/>
  <c r="E3" i="15" s="1"/>
  <c r="D3" i="15" s="1"/>
  <c r="E5" i="15" a="1"/>
  <c r="E5" i="15" s="1"/>
  <c r="D5" i="15" s="1"/>
  <c r="O10" i="13" l="1"/>
  <c r="R10" i="13" s="1"/>
  <c r="U10" i="13"/>
  <c r="L10" i="13"/>
  <c r="L15" i="13"/>
  <c r="L25" i="13"/>
  <c r="L20" i="13"/>
  <c r="N14" i="13"/>
  <c r="T14" i="13"/>
  <c r="E3" i="13" s="1" a="1"/>
  <c r="E3" i="13" s="1"/>
  <c r="E2" i="13" l="1" a="1"/>
  <c r="E2" i="13" s="1"/>
  <c r="D2" i="13" s="1"/>
  <c r="P15" i="13"/>
  <c r="M15" i="13" s="1"/>
  <c r="Q20" i="13"/>
  <c r="Q10" i="13"/>
  <c r="P25" i="13"/>
  <c r="M25" i="13" s="1"/>
  <c r="P10" i="13"/>
  <c r="M10" i="13" s="1"/>
  <c r="P20" i="13"/>
  <c r="M20" i="13" s="1"/>
  <c r="Q25" i="13"/>
  <c r="Q15" i="13"/>
  <c r="U14" i="13"/>
  <c r="E4" i="13" s="1" a="1"/>
  <c r="E4" i="13" s="1"/>
  <c r="D4" i="13" s="1"/>
  <c r="E5" i="13" l="1" a="1"/>
  <c r="E5" i="13" s="1"/>
  <c r="D5" i="13" s="1"/>
  <c r="K25" i="25" l="1"/>
  <c r="K20" i="25"/>
  <c r="K15" i="25"/>
  <c r="K30" i="25"/>
  <c r="AA24" i="25"/>
  <c r="L30" i="25" s="1"/>
  <c r="Q24" i="25"/>
  <c r="S30" i="25" s="1"/>
  <c r="P30" i="25" s="1"/>
  <c r="S15" i="25" l="1"/>
  <c r="P15" i="25" s="1"/>
  <c r="L25" i="25"/>
  <c r="L20" i="25"/>
  <c r="L15" i="25"/>
  <c r="T15" i="25"/>
  <c r="T30" i="25"/>
  <c r="S25" i="25"/>
  <c r="P25" i="25" s="1"/>
  <c r="T20" i="25"/>
  <c r="S20" i="25"/>
  <c r="P20" i="25" s="1"/>
  <c r="T25" i="25"/>
</calcChain>
</file>

<file path=xl/sharedStrings.xml><?xml version="1.0" encoding="utf-8"?>
<sst xmlns="http://schemas.openxmlformats.org/spreadsheetml/2006/main" count="2763" uniqueCount="537">
  <si>
    <t>2023-02-03(미니게임)</t>
    <phoneticPr fontId="2" type="noConversion"/>
  </si>
  <si>
    <t>2023-01-03(미니게임)</t>
    <phoneticPr fontId="2" type="noConversion"/>
  </si>
  <si>
    <t>송년회 이벤트게임</t>
    <phoneticPr fontId="2" type="noConversion"/>
  </si>
  <si>
    <t>이름</t>
    <phoneticPr fontId="2" type="noConversion"/>
  </si>
  <si>
    <t>2024 avg</t>
    <phoneticPr fontId="2" type="noConversion"/>
  </si>
  <si>
    <t>total avg</t>
    <phoneticPr fontId="2" type="noConversion"/>
  </si>
  <si>
    <t>today sum</t>
    <phoneticPr fontId="2" type="noConversion"/>
  </si>
  <si>
    <t>today avg</t>
    <phoneticPr fontId="2" type="noConversion"/>
  </si>
  <si>
    <t>조문수</t>
    <phoneticPr fontId="2" type="noConversion"/>
  </si>
  <si>
    <t>백동민</t>
    <phoneticPr fontId="2" type="noConversion"/>
  </si>
  <si>
    <t>김신철</t>
    <phoneticPr fontId="2" type="noConversion"/>
  </si>
  <si>
    <t>박용승</t>
    <phoneticPr fontId="2" type="noConversion"/>
  </si>
  <si>
    <t>성소라</t>
    <phoneticPr fontId="2" type="noConversion"/>
  </si>
  <si>
    <t>정동현</t>
    <phoneticPr fontId="2" type="noConversion"/>
  </si>
  <si>
    <t>채승엽</t>
    <phoneticPr fontId="2" type="noConversion"/>
  </si>
  <si>
    <t>김창현</t>
    <phoneticPr fontId="2" type="noConversion"/>
  </si>
  <si>
    <t>전병기</t>
    <phoneticPr fontId="2" type="noConversion"/>
  </si>
  <si>
    <t>한희용</t>
    <phoneticPr fontId="2" type="noConversion"/>
  </si>
  <si>
    <t>임무성</t>
    <phoneticPr fontId="2" type="noConversion"/>
  </si>
  <si>
    <t>이동현</t>
    <phoneticPr fontId="2" type="noConversion"/>
  </si>
  <si>
    <t>양근석</t>
    <phoneticPr fontId="2" type="noConversion"/>
  </si>
  <si>
    <t>김주현</t>
    <phoneticPr fontId="2" type="noConversion"/>
  </si>
  <si>
    <t>이강은</t>
    <phoneticPr fontId="2" type="noConversion"/>
  </si>
  <si>
    <t>천재복</t>
    <phoneticPr fontId="2" type="noConversion"/>
  </si>
  <si>
    <t>김기선</t>
    <phoneticPr fontId="2" type="noConversion"/>
  </si>
  <si>
    <t>김소영</t>
    <phoneticPr fontId="2" type="noConversion"/>
  </si>
  <si>
    <t>이주희</t>
    <phoneticPr fontId="2" type="noConversion"/>
  </si>
  <si>
    <t>김보라</t>
    <phoneticPr fontId="2" type="noConversion"/>
  </si>
  <si>
    <t>김영민</t>
    <phoneticPr fontId="2" type="noConversion"/>
  </si>
  <si>
    <t>정가영</t>
    <phoneticPr fontId="2" type="noConversion"/>
  </si>
  <si>
    <t>이한나</t>
    <phoneticPr fontId="2" type="noConversion"/>
  </si>
  <si>
    <t>백종현</t>
    <phoneticPr fontId="2" type="noConversion"/>
  </si>
  <si>
    <t>이정호</t>
    <phoneticPr fontId="2" type="noConversion"/>
  </si>
  <si>
    <t>심현보</t>
    <phoneticPr fontId="2" type="noConversion"/>
  </si>
  <si>
    <t>홍아인</t>
    <phoneticPr fontId="2" type="noConversion"/>
  </si>
  <si>
    <t>강전남</t>
    <phoneticPr fontId="2" type="noConversion"/>
  </si>
  <si>
    <t>김민지</t>
    <phoneticPr fontId="2" type="noConversion"/>
  </si>
  <si>
    <t>최은규</t>
    <phoneticPr fontId="2" type="noConversion"/>
  </si>
  <si>
    <t>이수용</t>
    <phoneticPr fontId="2" type="noConversion"/>
  </si>
  <si>
    <t>김예지</t>
    <phoneticPr fontId="2" type="noConversion"/>
  </si>
  <si>
    <t>조연희</t>
    <phoneticPr fontId="2" type="noConversion"/>
  </si>
  <si>
    <t>조헌우</t>
    <phoneticPr fontId="2" type="noConversion"/>
  </si>
  <si>
    <t>권진현</t>
    <phoneticPr fontId="2" type="noConversion"/>
  </si>
  <si>
    <t>송년회 이벤트게임</t>
    <phoneticPr fontId="10" type="noConversion"/>
  </si>
  <si>
    <t>이름</t>
    <phoneticPr fontId="10" type="noConversion"/>
  </si>
  <si>
    <t>핸디</t>
    <phoneticPr fontId="10" type="noConversion"/>
  </si>
  <si>
    <t>today avg</t>
    <phoneticPr fontId="10" type="noConversion"/>
  </si>
  <si>
    <t>rct 10g avg</t>
    <phoneticPr fontId="10" type="noConversion"/>
  </si>
  <si>
    <t>강전남</t>
    <phoneticPr fontId="10" type="noConversion"/>
  </si>
  <si>
    <t>권진현</t>
    <phoneticPr fontId="10" type="noConversion"/>
  </si>
  <si>
    <t>김기선</t>
    <phoneticPr fontId="10" type="noConversion"/>
  </si>
  <si>
    <t>김민지</t>
    <phoneticPr fontId="10" type="noConversion"/>
  </si>
  <si>
    <t>김보라</t>
    <phoneticPr fontId="10" type="noConversion"/>
  </si>
  <si>
    <t>김소영</t>
    <phoneticPr fontId="10" type="noConversion"/>
  </si>
  <si>
    <t>김신철</t>
    <phoneticPr fontId="10" type="noConversion"/>
  </si>
  <si>
    <t>김영민</t>
    <phoneticPr fontId="10" type="noConversion"/>
  </si>
  <si>
    <t>김예지</t>
    <phoneticPr fontId="10" type="noConversion"/>
  </si>
  <si>
    <t>김주현</t>
    <phoneticPr fontId="10" type="noConversion"/>
  </si>
  <si>
    <t>김창현</t>
    <phoneticPr fontId="10" type="noConversion"/>
  </si>
  <si>
    <t>박용승</t>
    <phoneticPr fontId="10" type="noConversion"/>
  </si>
  <si>
    <t>백동민</t>
    <phoneticPr fontId="10" type="noConversion"/>
  </si>
  <si>
    <t>백종현</t>
    <phoneticPr fontId="10" type="noConversion"/>
  </si>
  <si>
    <t>성소라</t>
    <phoneticPr fontId="10" type="noConversion"/>
  </si>
  <si>
    <t>신준상</t>
    <phoneticPr fontId="10" type="noConversion"/>
  </si>
  <si>
    <t>심현보</t>
    <phoneticPr fontId="10" type="noConversion"/>
  </si>
  <si>
    <t>양근석</t>
    <phoneticPr fontId="10" type="noConversion"/>
  </si>
  <si>
    <t>이강은</t>
    <phoneticPr fontId="10" type="noConversion"/>
  </si>
  <si>
    <t>이동현</t>
    <phoneticPr fontId="10" type="noConversion"/>
  </si>
  <si>
    <t>이수용</t>
    <phoneticPr fontId="10" type="noConversion"/>
  </si>
  <si>
    <t>이정호</t>
    <phoneticPr fontId="10" type="noConversion"/>
  </si>
  <si>
    <t>이주희</t>
    <phoneticPr fontId="10" type="noConversion"/>
  </si>
  <si>
    <t>이한나</t>
    <phoneticPr fontId="10" type="noConversion"/>
  </si>
  <si>
    <t>임무성</t>
    <phoneticPr fontId="10" type="noConversion"/>
  </si>
  <si>
    <t>전병기</t>
    <phoneticPr fontId="10" type="noConversion"/>
  </si>
  <si>
    <t>정가영</t>
    <phoneticPr fontId="10" type="noConversion"/>
  </si>
  <si>
    <t>정동현</t>
    <phoneticPr fontId="10" type="noConversion"/>
  </si>
  <si>
    <t>조문수</t>
    <phoneticPr fontId="10" type="noConversion"/>
  </si>
  <si>
    <t>조연희</t>
    <phoneticPr fontId="10" type="noConversion"/>
  </si>
  <si>
    <t>조헌우</t>
    <phoneticPr fontId="10" type="noConversion"/>
  </si>
  <si>
    <t>채승엽</t>
    <phoneticPr fontId="10" type="noConversion"/>
  </si>
  <si>
    <t>천재복</t>
    <phoneticPr fontId="10" type="noConversion"/>
  </si>
  <si>
    <t>최은규</t>
    <phoneticPr fontId="10" type="noConversion"/>
  </si>
  <si>
    <t>한희용</t>
    <phoneticPr fontId="10" type="noConversion"/>
  </si>
  <si>
    <t>우승</t>
    <phoneticPr fontId="2" type="noConversion"/>
  </si>
  <si>
    <t>준우승</t>
    <phoneticPr fontId="2" type="noConversion"/>
  </si>
  <si>
    <t>3위</t>
    <phoneticPr fontId="2" type="noConversion"/>
  </si>
  <si>
    <t>불참</t>
    <phoneticPr fontId="2" type="noConversion"/>
  </si>
  <si>
    <t>하이점수</t>
    <phoneticPr fontId="2" type="noConversion"/>
  </si>
  <si>
    <t>올커버</t>
    <phoneticPr fontId="2" type="noConversion"/>
  </si>
  <si>
    <t>연속스트라이크</t>
    <phoneticPr fontId="2" type="noConversion"/>
  </si>
  <si>
    <t>이름</t>
    <phoneticPr fontId="2" type="noConversion"/>
  </si>
  <si>
    <t>백동민</t>
    <phoneticPr fontId="2" type="noConversion"/>
  </si>
  <si>
    <t>김창현</t>
    <phoneticPr fontId="2" type="noConversion"/>
  </si>
  <si>
    <t>이강은</t>
    <phoneticPr fontId="2" type="noConversion"/>
  </si>
  <si>
    <t>최은규</t>
    <phoneticPr fontId="2" type="noConversion"/>
  </si>
  <si>
    <t>이한나</t>
    <phoneticPr fontId="2" type="noConversion"/>
  </si>
  <si>
    <t>행운상</t>
    <phoneticPr fontId="2" type="noConversion"/>
  </si>
  <si>
    <t>성소라</t>
    <phoneticPr fontId="2" type="noConversion"/>
  </si>
  <si>
    <t>한희용</t>
    <phoneticPr fontId="2" type="noConversion"/>
  </si>
  <si>
    <t>정동현</t>
    <phoneticPr fontId="2" type="noConversion"/>
  </si>
  <si>
    <t>박용승</t>
    <phoneticPr fontId="2" type="noConversion"/>
  </si>
  <si>
    <t>멘토링</t>
    <phoneticPr fontId="2" type="noConversion"/>
  </si>
  <si>
    <t>분기회식</t>
    <phoneticPr fontId="2" type="noConversion"/>
  </si>
  <si>
    <t>천재복</t>
    <phoneticPr fontId="2" type="noConversion"/>
  </si>
  <si>
    <t>이한나</t>
  </si>
  <si>
    <t>조문수</t>
  </si>
  <si>
    <t>조연희</t>
  </si>
  <si>
    <t>김예지</t>
  </si>
  <si>
    <t>김기선</t>
    <phoneticPr fontId="2" type="noConversion"/>
  </si>
  <si>
    <t>정동현</t>
  </si>
  <si>
    <t>조헌우</t>
  </si>
  <si>
    <t>한희용</t>
  </si>
  <si>
    <t>성소라</t>
  </si>
  <si>
    <t>임무성</t>
  </si>
  <si>
    <t>김주현</t>
    <phoneticPr fontId="2" type="noConversion"/>
  </si>
  <si>
    <t>Total</t>
    <phoneticPr fontId="2" type="noConversion"/>
  </si>
  <si>
    <t>마일리지 사용</t>
    <phoneticPr fontId="2" type="noConversion"/>
  </si>
  <si>
    <t>날짜</t>
    <phoneticPr fontId="2" type="noConversion"/>
  </si>
  <si>
    <t>금액</t>
    <phoneticPr fontId="2" type="noConversion"/>
  </si>
  <si>
    <t>이수용</t>
    <phoneticPr fontId="2" type="noConversion"/>
  </si>
  <si>
    <t>이재혁</t>
    <phoneticPr fontId="2" type="noConversion"/>
  </si>
  <si>
    <t>2023-06-21</t>
    <phoneticPr fontId="2" type="noConversion"/>
  </si>
  <si>
    <t>2023-05-30</t>
    <phoneticPr fontId="2" type="noConversion"/>
  </si>
  <si>
    <t>2023-05-23</t>
    <phoneticPr fontId="2" type="noConversion"/>
  </si>
  <si>
    <t>2023-04-18</t>
    <phoneticPr fontId="2" type="noConversion"/>
  </si>
  <si>
    <t>2023-04-03</t>
    <phoneticPr fontId="2" type="noConversion"/>
  </si>
  <si>
    <t>임혁준</t>
    <phoneticPr fontId="2" type="noConversion"/>
  </si>
  <si>
    <t>2023-03-23</t>
    <phoneticPr fontId="2" type="noConversion"/>
  </si>
  <si>
    <t>김기선-&gt;정동현</t>
    <phoneticPr fontId="2" type="noConversion"/>
  </si>
  <si>
    <t>2023-03-13</t>
    <phoneticPr fontId="2" type="noConversion"/>
  </si>
  <si>
    <t>2023-01-26</t>
    <phoneticPr fontId="2" type="noConversion"/>
  </si>
  <si>
    <t>2022-12-22</t>
    <phoneticPr fontId="2" type="noConversion"/>
  </si>
  <si>
    <t>2022-11-16</t>
    <phoneticPr fontId="2" type="noConversion"/>
  </si>
  <si>
    <t>구분</t>
  </si>
  <si>
    <t>번호</t>
  </si>
  <si>
    <t>사용자</t>
  </si>
  <si>
    <t>더블여자</t>
  </si>
  <si>
    <t>더블남자</t>
  </si>
  <si>
    <t>김신철, 이정호</t>
  </si>
  <si>
    <t>쓰리</t>
  </si>
  <si>
    <t>조</t>
    <phoneticPr fontId="2" type="noConversion"/>
  </si>
  <si>
    <t>경기</t>
    <phoneticPr fontId="2" type="noConversion"/>
  </si>
  <si>
    <t>total</t>
    <phoneticPr fontId="2" type="noConversion"/>
  </si>
  <si>
    <t>rct 10g
Compare</t>
    <phoneticPr fontId="2" type="noConversion"/>
  </si>
  <si>
    <t>Rank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</si>
  <si>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</si>
  <si>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</si>
  <si>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</si>
  <si>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</si>
  <si>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</si>
  <si>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점수</t>
    <phoneticPr fontId="2" type="noConversion"/>
  </si>
  <si>
    <t>점수</t>
    <phoneticPr fontId="2" type="noConversion"/>
  </si>
  <si>
    <t>게임
Rank</t>
    <phoneticPr fontId="2" type="noConversion"/>
  </si>
  <si>
    <t>누적
Rank</t>
    <phoneticPr fontId="2" type="noConversion"/>
  </si>
  <si>
    <t>하이</t>
    <phoneticPr fontId="2" type="noConversion"/>
  </si>
  <si>
    <t>남</t>
  </si>
  <si>
    <t>남</t>
    <phoneticPr fontId="2" type="noConversion"/>
  </si>
  <si>
    <t>여</t>
    <phoneticPr fontId="2" type="noConversion"/>
  </si>
  <si>
    <t>에버</t>
    <phoneticPr fontId="2" type="noConversion"/>
  </si>
  <si>
    <t>성별</t>
    <phoneticPr fontId="2" type="noConversion"/>
  </si>
  <si>
    <t>남</t>
    <phoneticPr fontId="2" type="noConversion"/>
  </si>
  <si>
    <t>여</t>
    <phoneticPr fontId="2" type="noConversion"/>
  </si>
  <si>
    <t>여</t>
    <phoneticPr fontId="2" type="noConversion"/>
  </si>
  <si>
    <t>남</t>
    <phoneticPr fontId="2" type="noConversion"/>
  </si>
  <si>
    <t>남</t>
    <phoneticPr fontId="2" type="noConversion"/>
  </si>
  <si>
    <t>여</t>
    <phoneticPr fontId="2" type="noConversion"/>
  </si>
  <si>
    <t>남</t>
    <phoneticPr fontId="2" type="noConversion"/>
  </si>
  <si>
    <t>여</t>
    <phoneticPr fontId="2" type="noConversion"/>
  </si>
  <si>
    <t>Diff</t>
    <phoneticPr fontId="2" type="noConversion"/>
  </si>
  <si>
    <t>Team</t>
    <phoneticPr fontId="2" type="noConversion"/>
  </si>
  <si>
    <t>max</t>
    <phoneticPr fontId="2" type="noConversion"/>
  </si>
  <si>
    <t>avg</t>
    <phoneticPr fontId="2" type="noConversion"/>
  </si>
  <si>
    <t>임무성</t>
    <phoneticPr fontId="2" type="noConversion"/>
  </si>
  <si>
    <t>백동민</t>
    <phoneticPr fontId="2" type="noConversion"/>
  </si>
  <si>
    <t>박용승</t>
  </si>
  <si>
    <t>최은규</t>
  </si>
  <si>
    <t>김신철</t>
  </si>
  <si>
    <t>채승엽</t>
  </si>
  <si>
    <t>이강은</t>
  </si>
  <si>
    <t>전병기</t>
  </si>
  <si>
    <t>천재복</t>
  </si>
  <si>
    <t>김주현</t>
  </si>
  <si>
    <t>이수용</t>
  </si>
  <si>
    <t>권진현</t>
  </si>
  <si>
    <t>Today
Avg</t>
    <phoneticPr fontId="2" type="noConversion"/>
  </si>
  <si>
    <t>2024 avg</t>
  </si>
  <si>
    <t>2023 avg</t>
  </si>
  <si>
    <t>2022 avg</t>
  </si>
  <si>
    <t>No</t>
    <phoneticPr fontId="10" type="noConversion"/>
  </si>
  <si>
    <t>total avg</t>
  </si>
  <si>
    <t>가입</t>
    <phoneticPr fontId="2" type="noConversion"/>
  </si>
  <si>
    <t>Y</t>
  </si>
  <si>
    <t>N</t>
  </si>
  <si>
    <t>N</t>
    <phoneticPr fontId="2" type="noConversion"/>
  </si>
  <si>
    <t>Y</t>
    <phoneticPr fontId="2" type="noConversion"/>
  </si>
  <si>
    <t>성별</t>
    <phoneticPr fontId="2" type="noConversion"/>
  </si>
  <si>
    <t>남자하이</t>
  </si>
  <si>
    <t>여자하이</t>
  </si>
  <si>
    <t>남자에버</t>
  </si>
  <si>
    <t>여자에버</t>
  </si>
  <si>
    <t>max</t>
    <phoneticPr fontId="2" type="noConversion"/>
  </si>
  <si>
    <t>avg</t>
    <phoneticPr fontId="2" type="noConversion"/>
  </si>
  <si>
    <t>김보라</t>
    <phoneticPr fontId="2" type="noConversion"/>
  </si>
  <si>
    <t>1인 다과비</t>
  </si>
  <si>
    <t>pet 음료</t>
  </si>
  <si>
    <t>can 음료</t>
  </si>
  <si>
    <t>과자</t>
  </si>
  <si>
    <t>레인 최대 인원</t>
  </si>
  <si>
    <t>인원</t>
  </si>
  <si>
    <t>레인</t>
  </si>
  <si>
    <t>Maximum 다과비</t>
  </si>
  <si>
    <t>계산</t>
  </si>
  <si>
    <t>차이</t>
  </si>
  <si>
    <t>이강은, 김창현</t>
  </si>
  <si>
    <t>전병기, 이수용</t>
  </si>
  <si>
    <t xml:space="preserve">양근석, </t>
  </si>
  <si>
    <t>김기선,</t>
  </si>
  <si>
    <t>종목</t>
  </si>
  <si>
    <t>대상</t>
  </si>
  <si>
    <t>점수</t>
  </si>
  <si>
    <t>양근석</t>
  </si>
  <si>
    <t>동수</t>
    <phoneticPr fontId="2" type="noConversion"/>
  </si>
  <si>
    <t>2024(max)</t>
    <phoneticPr fontId="2" type="noConversion"/>
  </si>
  <si>
    <t>여</t>
  </si>
  <si>
    <t>상금</t>
    <phoneticPr fontId="2" type="noConversion"/>
  </si>
  <si>
    <t>정동현,최은규,성소라</t>
    <phoneticPr fontId="2" type="noConversion"/>
  </si>
  <si>
    <t>연스</t>
    <phoneticPr fontId="2" type="noConversion"/>
  </si>
  <si>
    <t>행운</t>
    <phoneticPr fontId="2" type="noConversion"/>
  </si>
  <si>
    <t>이수용</t>
    <phoneticPr fontId="2" type="noConversion"/>
  </si>
  <si>
    <t>빙고</t>
    <phoneticPr fontId="2" type="noConversion"/>
  </si>
  <si>
    <t>전병기(2 bingo)</t>
    <phoneticPr fontId="2" type="noConversion"/>
  </si>
  <si>
    <t>정동현</t>
    <phoneticPr fontId="2" type="noConversion"/>
  </si>
  <si>
    <t>빙고</t>
    <phoneticPr fontId="2" type="noConversion"/>
  </si>
  <si>
    <t>상금토탈</t>
    <phoneticPr fontId="2" type="noConversion"/>
  </si>
  <si>
    <t>금월-전월</t>
    <phoneticPr fontId="2" type="noConversion"/>
  </si>
  <si>
    <t>김주현</t>
    <phoneticPr fontId="2" type="noConversion"/>
  </si>
  <si>
    <t>N</t>
    <phoneticPr fontId="2" type="noConversion"/>
  </si>
  <si>
    <t>김민지</t>
    <phoneticPr fontId="2" type="noConversion"/>
  </si>
  <si>
    <t>성소라</t>
    <phoneticPr fontId="2" type="noConversion"/>
  </si>
  <si>
    <t>-</t>
    <phoneticPr fontId="2" type="noConversion"/>
  </si>
  <si>
    <t>김주현</t>
    <phoneticPr fontId="2" type="noConversion"/>
  </si>
  <si>
    <t>이유재</t>
    <phoneticPr fontId="2" type="noConversion"/>
  </si>
  <si>
    <t>이유재</t>
    <phoneticPr fontId="2" type="noConversion"/>
  </si>
  <si>
    <t>최은규, 천재복</t>
    <phoneticPr fontId="2" type="noConversion"/>
  </si>
  <si>
    <t>정동현, 조연희</t>
    <phoneticPr fontId="2" type="noConversion"/>
  </si>
  <si>
    <t>더블남자</t>
    <phoneticPr fontId="2" type="noConversion"/>
  </si>
  <si>
    <t>만료일</t>
    <phoneticPr fontId="2" type="noConversion"/>
  </si>
  <si>
    <t>이유재</t>
    <phoneticPr fontId="10" type="noConversion"/>
  </si>
  <si>
    <t>최은규</t>
    <phoneticPr fontId="2" type="noConversion"/>
  </si>
  <si>
    <t>이강은</t>
    <phoneticPr fontId="2" type="noConversion"/>
  </si>
  <si>
    <t>김신철</t>
    <phoneticPr fontId="2" type="noConversion"/>
  </si>
  <si>
    <t>이수용</t>
    <phoneticPr fontId="2" type="noConversion"/>
  </si>
  <si>
    <t>이유재</t>
    <phoneticPr fontId="2" type="noConversion"/>
  </si>
  <si>
    <t>조헌우</t>
    <phoneticPr fontId="2" type="noConversion"/>
  </si>
  <si>
    <t>-</t>
    <phoneticPr fontId="2" type="noConversion"/>
  </si>
  <si>
    <t>김기선</t>
    <phoneticPr fontId="2" type="noConversion"/>
  </si>
  <si>
    <t>정동현</t>
    <phoneticPr fontId="2" type="noConversion"/>
  </si>
  <si>
    <t>김기선</t>
    <phoneticPr fontId="2" type="noConversion"/>
  </si>
  <si>
    <t>성소라</t>
    <phoneticPr fontId="2" type="noConversion"/>
  </si>
  <si>
    <t>김창현</t>
    <phoneticPr fontId="2" type="noConversion"/>
  </si>
  <si>
    <t>이강은</t>
    <phoneticPr fontId="2" type="noConversion"/>
  </si>
  <si>
    <t>조헌우</t>
    <phoneticPr fontId="2" type="noConversion"/>
  </si>
  <si>
    <t>김신철</t>
    <phoneticPr fontId="2" type="noConversion"/>
  </si>
  <si>
    <t>최은규</t>
    <phoneticPr fontId="2" type="noConversion"/>
  </si>
  <si>
    <t>김주현</t>
    <phoneticPr fontId="2" type="noConversion"/>
  </si>
  <si>
    <t>26.05.29</t>
    <phoneticPr fontId="2" type="noConversion"/>
  </si>
  <si>
    <t>N</t>
    <phoneticPr fontId="2" type="noConversion"/>
  </si>
  <si>
    <t>N</t>
    <phoneticPr fontId="2" type="noConversion"/>
  </si>
  <si>
    <t>동수2</t>
    <phoneticPr fontId="2" type="noConversion"/>
  </si>
  <si>
    <t>동수1</t>
    <phoneticPr fontId="2" type="noConversion"/>
  </si>
  <si>
    <t>박용승,김기선</t>
    <phoneticPr fontId="2" type="noConversion"/>
  </si>
  <si>
    <t>26.05.29</t>
    <phoneticPr fontId="2" type="noConversion"/>
  </si>
  <si>
    <t>정동현</t>
    <phoneticPr fontId="2" type="noConversion"/>
  </si>
  <si>
    <t>최은규</t>
    <phoneticPr fontId="2" type="noConversion"/>
  </si>
  <si>
    <t>박용승</t>
    <phoneticPr fontId="2" type="noConversion"/>
  </si>
  <si>
    <t>정동현</t>
    <phoneticPr fontId="2" type="noConversion"/>
  </si>
  <si>
    <t>최은규</t>
    <phoneticPr fontId="2" type="noConversion"/>
  </si>
  <si>
    <t>김신철</t>
    <phoneticPr fontId="2" type="noConversion"/>
  </si>
  <si>
    <t>조문수</t>
    <phoneticPr fontId="2" type="noConversion"/>
  </si>
  <si>
    <t>조문수, 최은규</t>
    <phoneticPr fontId="2" type="noConversion"/>
  </si>
  <si>
    <t>이주희&gt;성소라</t>
    <phoneticPr fontId="2" type="noConversion"/>
  </si>
  <si>
    <t>오수인</t>
    <phoneticPr fontId="2" type="noConversion"/>
  </si>
  <si>
    <t>손하은</t>
    <phoneticPr fontId="2" type="noConversion"/>
  </si>
  <si>
    <t>조문수&gt;정동현</t>
    <phoneticPr fontId="2" type="noConversion"/>
  </si>
  <si>
    <t>김신철</t>
    <phoneticPr fontId="2" type="noConversion"/>
  </si>
  <si>
    <t>백동민</t>
    <phoneticPr fontId="2" type="noConversion"/>
  </si>
  <si>
    <t>성소라</t>
    <phoneticPr fontId="2" type="noConversion"/>
  </si>
  <si>
    <t>이강은</t>
    <phoneticPr fontId="2" type="noConversion"/>
  </si>
  <si>
    <t>정동현</t>
    <phoneticPr fontId="2" type="noConversion"/>
  </si>
  <si>
    <t>조문수</t>
    <phoneticPr fontId="2" type="noConversion"/>
  </si>
  <si>
    <t>조헌우</t>
    <phoneticPr fontId="2" type="noConversion"/>
  </si>
  <si>
    <t>최은규</t>
    <phoneticPr fontId="2" type="noConversion"/>
  </si>
  <si>
    <t>손하은</t>
    <phoneticPr fontId="10" type="noConversion"/>
  </si>
  <si>
    <t>오수인</t>
    <phoneticPr fontId="10" type="noConversion"/>
  </si>
  <si>
    <t>박용승,오수인</t>
    <phoneticPr fontId="2" type="noConversion"/>
  </si>
  <si>
    <t>26.05.28</t>
    <phoneticPr fontId="2" type="noConversion"/>
  </si>
  <si>
    <t>26.05.29</t>
    <phoneticPr fontId="2" type="noConversion"/>
  </si>
  <si>
    <t>26.05.29</t>
    <phoneticPr fontId="2" type="noConversion"/>
  </si>
  <si>
    <t>조문수,이수용,정동현</t>
    <phoneticPr fontId="2" type="noConversion"/>
  </si>
  <si>
    <t>`</t>
    <phoneticPr fontId="2" type="noConversion"/>
  </si>
  <si>
    <t>오수인</t>
    <phoneticPr fontId="2" type="noConversion"/>
  </si>
  <si>
    <t>손하은</t>
    <phoneticPr fontId="2" type="noConversion"/>
  </si>
  <si>
    <t>추가
핸디</t>
    <phoneticPr fontId="2" type="noConversion"/>
  </si>
  <si>
    <t>남자최대상승</t>
    <phoneticPr fontId="2" type="noConversion"/>
  </si>
  <si>
    <t>여자최대상승</t>
    <phoneticPr fontId="2" type="noConversion"/>
  </si>
  <si>
    <t>조문수</t>
    <phoneticPr fontId="2" type="noConversion"/>
  </si>
  <si>
    <t>`</t>
    <phoneticPr fontId="2" type="noConversion"/>
  </si>
  <si>
    <t>조문수,백동민,김신철</t>
    <phoneticPr fontId="2" type="noConversion"/>
  </si>
  <si>
    <t>조문수,백동민</t>
    <phoneticPr fontId="2" type="noConversion"/>
  </si>
  <si>
    <t>한희용,정동현,김창현,최은규,이유재,조문수,김기선</t>
    <phoneticPr fontId="2" type="noConversion"/>
  </si>
  <si>
    <t>불참자</t>
    <phoneticPr fontId="2" type="noConversion"/>
  </si>
  <si>
    <t>상금</t>
    <phoneticPr fontId="2" type="noConversion"/>
  </si>
  <si>
    <t>성문조</t>
    <phoneticPr fontId="2" type="noConversion"/>
  </si>
  <si>
    <t>26.05.29</t>
    <phoneticPr fontId="2" type="noConversion"/>
  </si>
  <si>
    <t>2025 avg</t>
    <phoneticPr fontId="2" type="noConversion"/>
  </si>
  <si>
    <t>성문조</t>
    <phoneticPr fontId="2" type="noConversion"/>
  </si>
  <si>
    <t>남</t>
    <phoneticPr fontId="2" type="noConversion"/>
  </si>
  <si>
    <t>2025 high</t>
    <phoneticPr fontId="2" type="noConversion"/>
  </si>
  <si>
    <t>2025 avg - 2024 avg</t>
    <phoneticPr fontId="2" type="noConversion"/>
  </si>
  <si>
    <t>백동민</t>
  </si>
  <si>
    <t>2025 avg</t>
    <phoneticPr fontId="2" type="noConversion"/>
  </si>
  <si>
    <t>rct 20g avg</t>
    <phoneticPr fontId="10" type="noConversion"/>
  </si>
  <si>
    <t>rank</t>
    <phoneticPr fontId="2" type="noConversion"/>
  </si>
  <si>
    <t>이름</t>
    <phoneticPr fontId="2" type="noConversion"/>
  </si>
  <si>
    <t>'25년 avg</t>
    <phoneticPr fontId="2" type="noConversion"/>
  </si>
  <si>
    <t>양근석, 성소라</t>
    <phoneticPr fontId="2" type="noConversion"/>
  </si>
  <si>
    <t>10g-20g</t>
    <phoneticPr fontId="2" type="noConversion"/>
  </si>
  <si>
    <t>`</t>
    <phoneticPr fontId="2" type="noConversion"/>
  </si>
  <si>
    <t>정동현</t>
    <phoneticPr fontId="2" type="noConversion"/>
  </si>
  <si>
    <t>손하은</t>
    <phoneticPr fontId="2" type="noConversion"/>
  </si>
  <si>
    <t>오수인</t>
    <phoneticPr fontId="2" type="noConversion"/>
  </si>
  <si>
    <t>rct 10g avg</t>
    <phoneticPr fontId="2" type="noConversion"/>
  </si>
  <si>
    <t>이해신</t>
    <phoneticPr fontId="2" type="noConversion"/>
  </si>
  <si>
    <t>이해신</t>
    <phoneticPr fontId="2" type="noConversion"/>
  </si>
  <si>
    <t>최은규, 백동민</t>
    <phoneticPr fontId="2" type="noConversion"/>
  </si>
  <si>
    <t>rct 20g
Compare</t>
    <phoneticPr fontId="2" type="noConversion"/>
  </si>
  <si>
    <t>이해신</t>
    <phoneticPr fontId="2" type="noConversion"/>
  </si>
  <si>
    <t>박용승</t>
    <phoneticPr fontId="2" type="noConversion"/>
  </si>
  <si>
    <t>채승엽</t>
    <phoneticPr fontId="2" type="noConversion"/>
  </si>
  <si>
    <t>심재국</t>
    <phoneticPr fontId="2" type="noConversion"/>
  </si>
  <si>
    <t>N</t>
    <phoneticPr fontId="2" type="noConversion"/>
  </si>
  <si>
    <t>가입</t>
    <phoneticPr fontId="2" type="noConversion"/>
  </si>
  <si>
    <t>이해신</t>
    <phoneticPr fontId="2" type="noConversion"/>
  </si>
  <si>
    <t>심재국</t>
    <phoneticPr fontId="2" type="noConversion"/>
  </si>
  <si>
    <t>참석</t>
    <phoneticPr fontId="2" type="noConversion"/>
  </si>
  <si>
    <t>O</t>
    <phoneticPr fontId="2" type="noConversion"/>
  </si>
  <si>
    <t>X</t>
    <phoneticPr fontId="2" type="noConversion"/>
  </si>
  <si>
    <t>2022(avg)</t>
    <phoneticPr fontId="2" type="noConversion"/>
  </si>
  <si>
    <t>2022(max)</t>
    <phoneticPr fontId="2" type="noConversion"/>
  </si>
  <si>
    <t>2023(max)</t>
    <phoneticPr fontId="2" type="noConversion"/>
  </si>
  <si>
    <t>2023(avg)</t>
    <phoneticPr fontId="2" type="noConversion"/>
  </si>
  <si>
    <t>2024(max)</t>
    <phoneticPr fontId="2" type="noConversion"/>
  </si>
  <si>
    <t>2024(avg)</t>
    <phoneticPr fontId="2" type="noConversion"/>
  </si>
  <si>
    <t>2025(max)</t>
    <phoneticPr fontId="2" type="noConversion"/>
  </si>
  <si>
    <t>2025(avg)</t>
    <phoneticPr fontId="2" type="noConversion"/>
  </si>
  <si>
    <t>여</t>
    <phoneticPr fontId="2" type="noConversion"/>
  </si>
  <si>
    <t>남</t>
    <phoneticPr fontId="2" type="noConversion"/>
  </si>
  <si>
    <t>2025(avg)-2024(avg)</t>
    <phoneticPr fontId="2" type="noConversion"/>
  </si>
  <si>
    <t>`</t>
    <phoneticPr fontId="2" type="noConversion"/>
  </si>
  <si>
    <t>최은규, 조문수</t>
    <phoneticPr fontId="2" type="noConversion"/>
  </si>
  <si>
    <t>백동민, 정동현</t>
    <phoneticPr fontId="2" type="noConversion"/>
  </si>
  <si>
    <t>손하은</t>
    <phoneticPr fontId="2" type="noConversion"/>
  </si>
  <si>
    <t>더블1</t>
    <phoneticPr fontId="2" type="noConversion"/>
  </si>
  <si>
    <t>월</t>
    <phoneticPr fontId="2" type="noConversion"/>
  </si>
  <si>
    <t>더블1(232)</t>
    <phoneticPr fontId="2" type="noConversion"/>
  </si>
  <si>
    <t>4주차</t>
    <phoneticPr fontId="2" type="noConversion"/>
  </si>
  <si>
    <t>3주차</t>
    <phoneticPr fontId="2" type="noConversion"/>
  </si>
  <si>
    <t>결재 완료(2026)</t>
    <phoneticPr fontId="2" type="noConversion"/>
  </si>
  <si>
    <t>26.08.29</t>
    <phoneticPr fontId="2" type="noConversion"/>
  </si>
  <si>
    <t>박시연</t>
    <phoneticPr fontId="2" type="noConversion"/>
  </si>
  <si>
    <t>박시연</t>
    <phoneticPr fontId="10" type="noConversion"/>
  </si>
  <si>
    <t>이종현</t>
    <phoneticPr fontId="2" type="noConversion"/>
  </si>
  <si>
    <t>이경준</t>
    <phoneticPr fontId="2" type="noConversion"/>
  </si>
  <si>
    <t>F</t>
    <phoneticPr fontId="2" type="noConversion"/>
  </si>
  <si>
    <t>`</t>
    <phoneticPr fontId="2" type="noConversion"/>
  </si>
  <si>
    <t>더블1(239) +트리플(75)</t>
    <phoneticPr fontId="2" type="noConversion"/>
  </si>
  <si>
    <t>인원수</t>
  </si>
  <si>
    <t>1등</t>
  </si>
  <si>
    <t>2등</t>
  </si>
  <si>
    <t>3등</t>
  </si>
  <si>
    <t>4등</t>
  </si>
  <si>
    <t>5등</t>
  </si>
  <si>
    <t>6등</t>
  </si>
  <si>
    <t>총</t>
  </si>
  <si>
    <t>N</t>
    <phoneticPr fontId="2" type="noConversion"/>
  </si>
  <si>
    <t>시합 개인 시상 (각부분 5,000포인트)</t>
  </si>
  <si>
    <t>연스</t>
  </si>
  <si>
    <t>- 남자 5연속 스트라이크</t>
  </si>
  <si>
    <t>- 여자 4연속 스트라이크</t>
  </si>
  <si>
    <t>올커버</t>
  </si>
  <si>
    <t>- 1~10프레임 모든 핀 처리</t>
  </si>
  <si>
    <t>하이</t>
  </si>
  <si>
    <t>- 남자 210</t>
  </si>
  <si>
    <t>- 여자 200 (핸디 12점 포함)</t>
  </si>
  <si>
    <t>조문수, 백동민</t>
    <phoneticPr fontId="2" type="noConversion"/>
  </si>
  <si>
    <t>성소라, 이경준</t>
    <phoneticPr fontId="2" type="noConversion"/>
  </si>
  <si>
    <t>박시연</t>
    <phoneticPr fontId="2" type="noConversion"/>
  </si>
  <si>
    <t>이경준</t>
    <phoneticPr fontId="2" type="noConversion"/>
  </si>
  <si>
    <t>Y</t>
    <phoneticPr fontId="2" type="noConversion"/>
  </si>
  <si>
    <t>26.06.21</t>
    <phoneticPr fontId="2" type="noConversion"/>
  </si>
  <si>
    <t>26.07.05</t>
    <phoneticPr fontId="2" type="noConversion"/>
  </si>
  <si>
    <t>남준석</t>
    <phoneticPr fontId="10" type="noConversion"/>
  </si>
  <si>
    <t>라지게임 상금</t>
    <phoneticPr fontId="2" type="noConversion"/>
  </si>
  <si>
    <t>미니게임 상금</t>
    <phoneticPr fontId="2" type="noConversion"/>
  </si>
  <si>
    <t>남준석</t>
    <phoneticPr fontId="2" type="noConversion"/>
  </si>
  <si>
    <t>4위</t>
    <phoneticPr fontId="2" type="noConversion"/>
  </si>
  <si>
    <t>5위</t>
    <phoneticPr fontId="2" type="noConversion"/>
  </si>
  <si>
    <t>6위</t>
    <phoneticPr fontId="2" type="noConversion"/>
  </si>
  <si>
    <t>시합 개인 시상 (각부분 2,500포인트)</t>
    <phoneticPr fontId="2" type="noConversion"/>
  </si>
  <si>
    <t>김영민, 임무성, 남준석</t>
    <phoneticPr fontId="2" type="noConversion"/>
  </si>
  <si>
    <t>6</t>
    <phoneticPr fontId="2" type="noConversion"/>
  </si>
  <si>
    <t>더블1</t>
    <phoneticPr fontId="2" type="noConversion"/>
  </si>
  <si>
    <t xml:space="preserve">더블1 </t>
    <phoneticPr fontId="2" type="noConversion"/>
  </si>
  <si>
    <t>성소라</t>
    <phoneticPr fontId="2" type="noConversion"/>
  </si>
  <si>
    <t>남준석</t>
    <phoneticPr fontId="2" type="noConversion"/>
  </si>
  <si>
    <t>Y</t>
    <phoneticPr fontId="2" type="noConversion"/>
  </si>
  <si>
    <t>조문수</t>
    <phoneticPr fontId="2" type="noConversion"/>
  </si>
  <si>
    <t>천재복</t>
    <phoneticPr fontId="2" type="noConversion"/>
  </si>
  <si>
    <t>최은규</t>
    <phoneticPr fontId="2" type="noConversion"/>
  </si>
  <si>
    <t>박용승</t>
    <phoneticPr fontId="2" type="noConversion"/>
  </si>
  <si>
    <t>이유재</t>
    <phoneticPr fontId="2" type="noConversion"/>
  </si>
  <si>
    <t>김예지</t>
    <phoneticPr fontId="2" type="noConversion"/>
  </si>
  <si>
    <t>이정호</t>
    <phoneticPr fontId="2" type="noConversion"/>
  </si>
  <si>
    <t>채승엽</t>
    <phoneticPr fontId="2" type="noConversion"/>
  </si>
  <si>
    <t>전병기</t>
    <phoneticPr fontId="2" type="noConversion"/>
  </si>
  <si>
    <t>한희용</t>
    <phoneticPr fontId="2" type="noConversion"/>
  </si>
  <si>
    <t>이강은</t>
    <phoneticPr fontId="2" type="noConversion"/>
  </si>
  <si>
    <t>김기선</t>
    <phoneticPr fontId="2" type="noConversion"/>
  </si>
  <si>
    <t>김창현</t>
    <phoneticPr fontId="2" type="noConversion"/>
  </si>
  <si>
    <t>조연희</t>
    <phoneticPr fontId="2" type="noConversion"/>
  </si>
  <si>
    <t>양근석</t>
    <phoneticPr fontId="2" type="noConversion"/>
  </si>
  <si>
    <t>이수용</t>
    <phoneticPr fontId="2" type="noConversion"/>
  </si>
  <si>
    <t>백동민</t>
    <phoneticPr fontId="2" type="noConversion"/>
  </si>
  <si>
    <t>성소라</t>
    <phoneticPr fontId="2" type="noConversion"/>
  </si>
  <si>
    <t>남준석</t>
    <phoneticPr fontId="2" type="noConversion"/>
  </si>
  <si>
    <t>임무성</t>
    <phoneticPr fontId="2" type="noConversion"/>
  </si>
  <si>
    <t>최은규</t>
    <phoneticPr fontId="2" type="noConversion"/>
  </si>
  <si>
    <t>김신철</t>
    <phoneticPr fontId="2" type="noConversion"/>
  </si>
  <si>
    <t>남준석</t>
    <phoneticPr fontId="2" type="noConversion"/>
  </si>
  <si>
    <t>한희용</t>
    <phoneticPr fontId="2" type="noConversion"/>
  </si>
  <si>
    <t>조문수</t>
    <phoneticPr fontId="2" type="noConversion"/>
  </si>
  <si>
    <t>이강은</t>
    <phoneticPr fontId="2" type="noConversion"/>
  </si>
  <si>
    <t>성소라</t>
    <phoneticPr fontId="2" type="noConversion"/>
  </si>
  <si>
    <t>김창현-&gt;오수인</t>
    <phoneticPr fontId="2" type="noConversion"/>
  </si>
  <si>
    <t>김창현-&gt;정동현</t>
    <phoneticPr fontId="2" type="noConversion"/>
  </si>
  <si>
    <t>김창현-&gt;손하은</t>
    <phoneticPr fontId="2" type="noConversion"/>
  </si>
  <si>
    <t>박용승-&gt;오수인</t>
    <phoneticPr fontId="2" type="noConversion"/>
  </si>
  <si>
    <t>박용승-&gt;정동현</t>
    <phoneticPr fontId="2" type="noConversion"/>
  </si>
  <si>
    <t>박용승-&gt;손하은</t>
    <phoneticPr fontId="2" type="noConversion"/>
  </si>
  <si>
    <t>한희용-&gt;오수인</t>
    <phoneticPr fontId="2" type="noConversion"/>
  </si>
  <si>
    <t>한희용-&gt;정동현</t>
    <phoneticPr fontId="2" type="noConversion"/>
  </si>
  <si>
    <t>한희용-&gt;손하은</t>
    <phoneticPr fontId="2" type="noConversion"/>
  </si>
  <si>
    <t>권효상</t>
    <phoneticPr fontId="2" type="noConversion"/>
  </si>
  <si>
    <t>남준석</t>
    <phoneticPr fontId="2" type="noConversion"/>
  </si>
  <si>
    <t>권효상</t>
    <phoneticPr fontId="2" type="noConversion"/>
  </si>
  <si>
    <t>이경준</t>
    <phoneticPr fontId="2" type="noConversion"/>
  </si>
  <si>
    <t>권진현</t>
    <phoneticPr fontId="2" type="noConversion"/>
  </si>
  <si>
    <t>이종현</t>
    <phoneticPr fontId="2" type="noConversion"/>
  </si>
  <si>
    <t>심재국</t>
    <phoneticPr fontId="2" type="noConversion"/>
  </si>
  <si>
    <t>탈퇴자 마일리지</t>
    <phoneticPr fontId="2" type="noConversion"/>
  </si>
  <si>
    <t>백종현</t>
    <phoneticPr fontId="2" type="noConversion"/>
  </si>
  <si>
    <t>심현보</t>
    <phoneticPr fontId="2" type="noConversion"/>
  </si>
  <si>
    <t>X</t>
    <phoneticPr fontId="2" type="noConversion"/>
  </si>
  <si>
    <t>동수3</t>
    <phoneticPr fontId="2" type="noConversion"/>
  </si>
  <si>
    <t>지난결산</t>
    <phoneticPr fontId="2" type="noConversion"/>
  </si>
  <si>
    <t>`</t>
    <phoneticPr fontId="2" type="noConversion"/>
  </si>
  <si>
    <t>쓰리</t>
    <phoneticPr fontId="2" type="noConversion"/>
  </si>
  <si>
    <t>26.05.14</t>
    <phoneticPr fontId="2" type="noConversion"/>
  </si>
  <si>
    <t>안재혁</t>
    <phoneticPr fontId="2" type="noConversion"/>
  </si>
  <si>
    <t>N</t>
    <phoneticPr fontId="2" type="noConversion"/>
  </si>
  <si>
    <t>안재혁</t>
    <phoneticPr fontId="2" type="noConversion"/>
  </si>
  <si>
    <r>
      <rPr>
        <sz val="10"/>
        <color theme="4"/>
        <rFont val="맑은 고딕"/>
        <family val="3"/>
        <charset val="129"/>
        <scheme val="minor"/>
      </rPr>
      <t xml:space="preserve">백종현, </t>
    </r>
    <r>
      <rPr>
        <sz val="10"/>
        <color rgb="FF000000"/>
        <rFont val="맑은 고딕"/>
        <family val="3"/>
        <charset val="129"/>
        <scheme val="minor"/>
      </rPr>
      <t>한희용, 심재국</t>
    </r>
    <phoneticPr fontId="2" type="noConversion"/>
  </si>
  <si>
    <t>27.07.26</t>
    <phoneticPr fontId="2" type="noConversion"/>
  </si>
  <si>
    <t>안재혁</t>
    <phoneticPr fontId="2" type="noConversion"/>
  </si>
  <si>
    <t>차민</t>
    <phoneticPr fontId="2" type="noConversion"/>
  </si>
  <si>
    <t>차민</t>
    <phoneticPr fontId="2" type="noConversion"/>
  </si>
  <si>
    <t>이경준</t>
    <phoneticPr fontId="2" type="noConversion"/>
  </si>
  <si>
    <t>O</t>
    <phoneticPr fontId="2" type="noConversion"/>
  </si>
  <si>
    <t>박용승, 백동민</t>
    <phoneticPr fontId="2" type="noConversion"/>
  </si>
  <si>
    <t>차민</t>
    <phoneticPr fontId="2" type="noConversion"/>
  </si>
  <si>
    <t>트리플(34)</t>
    <phoneticPr fontId="2" type="noConversion"/>
  </si>
  <si>
    <t>트리플(37)</t>
    <phoneticPr fontId="2" type="noConversion"/>
  </si>
  <si>
    <t>트리플(75)</t>
    <phoneticPr fontId="2" type="noConversion"/>
  </si>
  <si>
    <t>트리플(73)</t>
    <phoneticPr fontId="2" type="noConversion"/>
  </si>
  <si>
    <t>더블1</t>
    <phoneticPr fontId="2" type="noConversion"/>
  </si>
  <si>
    <t>이종현</t>
    <phoneticPr fontId="2" type="noConversion"/>
  </si>
  <si>
    <t>Y</t>
    <phoneticPr fontId="2" type="noConversion"/>
  </si>
  <si>
    <t>A
(15,16,17)</t>
    <phoneticPr fontId="2" type="noConversion"/>
  </si>
  <si>
    <t>B
(14,15,16)</t>
    <phoneticPr fontId="2" type="noConversion"/>
  </si>
  <si>
    <t>C
(17,13,14)</t>
    <phoneticPr fontId="2" type="noConversion"/>
  </si>
  <si>
    <t>D
(13,,14,15)</t>
    <phoneticPr fontId="2" type="noConversion"/>
  </si>
  <si>
    <t>E
(16,17,13)</t>
    <phoneticPr fontId="2" type="noConversion"/>
  </si>
  <si>
    <t>양근석, 손하은, 채승엽</t>
    <phoneticPr fontId="2" type="noConversion"/>
  </si>
  <si>
    <t>X</t>
    <phoneticPr fontId="2" type="noConversion"/>
  </si>
  <si>
    <t>A
(13,14,15)</t>
    <phoneticPr fontId="2" type="noConversion"/>
  </si>
  <si>
    <t>C
(15,16,17)</t>
    <phoneticPr fontId="2" type="noConversion"/>
  </si>
  <si>
    <t>D
(16,17,13)</t>
    <phoneticPr fontId="2" type="noConversion"/>
  </si>
  <si>
    <t>E
(17,13,14)</t>
    <phoneticPr fontId="2" type="noConversion"/>
  </si>
  <si>
    <t>성소라, 정동현</t>
    <phoneticPr fontId="2" type="noConversion"/>
  </si>
  <si>
    <t>트리플(35)</t>
    <phoneticPr fontId="2" type="noConversion"/>
  </si>
  <si>
    <t>트리플(28)??</t>
    <phoneticPr fontId="2" type="noConversion"/>
  </si>
  <si>
    <t>27.05.29</t>
    <phoneticPr fontId="2" type="noConversion"/>
  </si>
  <si>
    <t>트리플(35)-신</t>
    <phoneticPr fontId="2" type="noConversion"/>
  </si>
  <si>
    <t>트리플(73)-신</t>
    <phoneticPr fontId="2" type="noConversion"/>
  </si>
  <si>
    <t>더블(239) -26년까지연장</t>
    <phoneticPr fontId="2" type="noConversion"/>
  </si>
  <si>
    <t>26.04.10</t>
    <phoneticPr fontId="2" type="noConversion"/>
  </si>
  <si>
    <t>트리플(311)</t>
    <phoneticPr fontId="2" type="noConversion"/>
  </si>
  <si>
    <t>C
(15,16,13)</t>
    <phoneticPr fontId="2" type="noConversion"/>
  </si>
  <si>
    <t>D
(16,13,14)</t>
    <phoneticPr fontId="2" type="noConversion"/>
  </si>
  <si>
    <t xml:space="preserve">E
</t>
    <phoneticPr fontId="2" type="noConversion"/>
  </si>
  <si>
    <t>27.07.12</t>
    <phoneticPr fontId="2" type="noConversion"/>
  </si>
  <si>
    <t>마일리지 현황(7월_3주차)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</si>
  <si>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</si>
  <si>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</si>
  <si>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</si>
  <si>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O</t>
    <phoneticPr fontId="2" type="noConversion"/>
  </si>
  <si>
    <t>최은규</t>
    <phoneticPr fontId="2" type="noConversion"/>
  </si>
  <si>
    <t>오수인</t>
    <phoneticPr fontId="2" type="noConversion"/>
  </si>
  <si>
    <t>동수</t>
    <phoneticPr fontId="2" type="noConversion"/>
  </si>
  <si>
    <t>채승엽</t>
    <phoneticPr fontId="2" type="noConversion"/>
  </si>
  <si>
    <t>박용승</t>
    <phoneticPr fontId="2" type="noConversion"/>
  </si>
  <si>
    <t>손하은</t>
    <phoneticPr fontId="2" type="noConversion"/>
  </si>
  <si>
    <t>권진현</t>
    <phoneticPr fontId="2" type="noConversion"/>
  </si>
  <si>
    <t>이경준</t>
    <phoneticPr fontId="2" type="noConversion"/>
  </si>
  <si>
    <t>백동민</t>
    <phoneticPr fontId="2" type="noConversion"/>
  </si>
  <si>
    <t>정동현</t>
    <phoneticPr fontId="2" type="noConversion"/>
  </si>
  <si>
    <t>남</t>
    <phoneticPr fontId="2" type="noConversion"/>
  </si>
  <si>
    <t>남준석</t>
    <phoneticPr fontId="2" type="noConversion"/>
  </si>
  <si>
    <t>오수인</t>
    <phoneticPr fontId="2" type="noConversion"/>
  </si>
  <si>
    <t>손하은</t>
    <phoneticPr fontId="2" type="noConversion"/>
  </si>
  <si>
    <t>권진현</t>
    <phoneticPr fontId="2" type="noConversion"/>
  </si>
  <si>
    <t>이경준</t>
    <phoneticPr fontId="2" type="noConversion"/>
  </si>
  <si>
    <t>백동민</t>
    <phoneticPr fontId="2" type="noConversion"/>
  </si>
  <si>
    <t>이종현</t>
    <phoneticPr fontId="2" type="noConversion"/>
  </si>
  <si>
    <t>오수인</t>
    <phoneticPr fontId="2" type="noConversion"/>
  </si>
  <si>
    <t>오수인</t>
    <phoneticPr fontId="2" type="noConversion"/>
  </si>
  <si>
    <t>오수인,오수인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</si>
</sst>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-* #,##0_-;\-* #,##0_-;_-* &quot;-&quot;_-;_-@_-"/>
    <numFmt numFmtId="176" formatCode="_-* #,##0.0_-;\-* #,##0.0_-;_-* &quot;-&quot;_-;_-@_-"/>
    <numFmt numFmtId="177" formatCode="0_);[Red]\(0\)"/>
    <numFmt numFmtId="178" formatCode="0.0"/>
    <numFmt numFmtId="179" formatCode="_-* #,##0_-;\-* #,##0_-;_-* &quot;-&quot;??_-;_-@_-"/>
    <numFmt numFmtId="180" formatCode="_-* #,##0.0_-;\-* #,##0.0_-;_-* &quot;-&quot;??_-;_-@_-"/>
    <numFmt numFmtId="181" formatCode="#,##0.0_ "/>
    <numFmt numFmtId="182" formatCode="0.0_);[Red]\(0.0\)"/>
    <numFmt numFmtId="183" formatCode="#,##0_);[Red]\(#,##0\)"/>
    <numFmt numFmtId="184" formatCode="0.0_ "/>
    <numFmt numFmtId="185" formatCode="_-* #,##0.0_-;\-* #,##0.0_-;_-* &quot;-&quot;?_-;_-@_-"/>
    <numFmt numFmtId="186" formatCode="mm&quot;월&quot;\ dd&quot;일&quot;"/>
  </numFmts>
  <fonts count="36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rgb="FF7030A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u val="singleAccounting"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i/>
      <sz val="10"/>
      <color theme="1" tint="0.499984740745262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u val="singleAccounting"/>
      <sz val="10"/>
      <color theme="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596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6" fontId="3" fillId="0" borderId="1" xfId="1" applyNumberFormat="1" applyFont="1" applyBorder="1" applyAlignment="1"/>
    <xf numFmtId="0" fontId="3" fillId="0" borderId="0" xfId="0" applyFont="1"/>
    <xf numFmtId="176" fontId="3" fillId="0" borderId="0" xfId="1" applyNumberFormat="1" applyFont="1" applyAlignment="1"/>
    <xf numFmtId="0" fontId="3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76" fontId="3" fillId="0" borderId="1" xfId="1" applyNumberFormat="1" applyFont="1" applyFill="1" applyBorder="1" applyAlignment="1"/>
    <xf numFmtId="177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1" fontId="3" fillId="0" borderId="1" xfId="1" applyFont="1" applyFill="1" applyBorder="1" applyAlignment="1"/>
    <xf numFmtId="41" fontId="3" fillId="0" borderId="1" xfId="1" applyFont="1" applyBorder="1" applyAlignment="1">
      <alignment horizontal="center"/>
    </xf>
    <xf numFmtId="41" fontId="3" fillId="0" borderId="1" xfId="1" applyFont="1" applyBorder="1" applyAlignment="1"/>
    <xf numFmtId="41" fontId="3" fillId="0" borderId="0" xfId="1" applyFont="1" applyAlignment="1"/>
    <xf numFmtId="176" fontId="3" fillId="0" borderId="1" xfId="1" applyNumberFormat="1" applyFont="1" applyBorder="1" applyAlignment="1">
      <alignment horizontal="center"/>
    </xf>
    <xf numFmtId="41" fontId="3" fillId="0" borderId="1" xfId="1" applyFont="1" applyFill="1" applyBorder="1" applyAlignment="1">
      <alignment horizontal="center"/>
    </xf>
    <xf numFmtId="41" fontId="4" fillId="0" borderId="1" xfId="1" applyFont="1" applyFill="1" applyBorder="1" applyAlignment="1">
      <alignment horizontal="center"/>
    </xf>
    <xf numFmtId="41" fontId="5" fillId="0" borderId="1" xfId="1" applyFont="1" applyFill="1" applyBorder="1" applyAlignment="1">
      <alignment horizontal="center"/>
    </xf>
    <xf numFmtId="41" fontId="6" fillId="0" borderId="1" xfId="1" applyFont="1" applyFill="1" applyBorder="1" applyAlignment="1">
      <alignment horizontal="center"/>
    </xf>
    <xf numFmtId="41" fontId="7" fillId="0" borderId="1" xfId="1" applyFont="1" applyFill="1" applyBorder="1" applyAlignment="1">
      <alignment horizontal="center"/>
    </xf>
    <xf numFmtId="41" fontId="3" fillId="3" borderId="1" xfId="1" applyFont="1" applyFill="1" applyBorder="1" applyAlignment="1">
      <alignment horizontal="center"/>
    </xf>
    <xf numFmtId="41" fontId="3" fillId="0" borderId="0" xfId="1" applyFont="1" applyFill="1" applyBorder="1" applyAlignment="1">
      <alignment horizontal="center"/>
    </xf>
    <xf numFmtId="41" fontId="8" fillId="0" borderId="1" xfId="1" applyFont="1" applyFill="1" applyBorder="1" applyAlignment="1">
      <alignment horizontal="center"/>
    </xf>
    <xf numFmtId="41" fontId="4" fillId="0" borderId="1" xfId="1" applyFont="1" applyBorder="1" applyAlignment="1">
      <alignment horizontal="center"/>
    </xf>
    <xf numFmtId="41" fontId="5" fillId="0" borderId="1" xfId="1" applyFont="1" applyFill="1" applyBorder="1" applyAlignment="1"/>
    <xf numFmtId="41" fontId="3" fillId="0" borderId="1" xfId="1" applyFont="1" applyFill="1" applyBorder="1" applyAlignment="1">
      <alignment horizontal="center" vertical="center"/>
    </xf>
    <xf numFmtId="41" fontId="3" fillId="0" borderId="0" xfId="1" applyFont="1" applyAlignment="1">
      <alignment horizontal="center"/>
    </xf>
    <xf numFmtId="41" fontId="5" fillId="3" borderId="1" xfId="1" applyFont="1" applyFill="1" applyBorder="1" applyAlignment="1">
      <alignment horizontal="center"/>
    </xf>
    <xf numFmtId="41" fontId="8" fillId="3" borderId="1" xfId="1" applyFont="1" applyFill="1" applyBorder="1" applyAlignment="1">
      <alignment horizontal="center"/>
    </xf>
    <xf numFmtId="41" fontId="4" fillId="3" borderId="1" xfId="1" applyFont="1" applyFill="1" applyBorder="1" applyAlignment="1">
      <alignment horizontal="center"/>
    </xf>
    <xf numFmtId="41" fontId="9" fillId="0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1" fontId="3" fillId="0" borderId="1" xfId="1" applyNumberFormat="1" applyFont="1" applyBorder="1" applyAlignment="1"/>
    <xf numFmtId="41" fontId="3" fillId="0" borderId="1" xfId="1" applyNumberFormat="1" applyFont="1" applyFill="1" applyBorder="1" applyAlignment="1"/>
    <xf numFmtId="41" fontId="3" fillId="0" borderId="0" xfId="1" applyNumberFormat="1" applyFont="1" applyAlignment="1"/>
    <xf numFmtId="41" fontId="4" fillId="2" borderId="1" xfId="1" applyNumberFormat="1" applyFont="1" applyFill="1" applyBorder="1" applyAlignment="1">
      <alignment horizontal="center"/>
    </xf>
    <xf numFmtId="176" fontId="4" fillId="2" borderId="1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41" fontId="3" fillId="0" borderId="2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41" fontId="4" fillId="2" borderId="1" xfId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41" fontId="3" fillId="4" borderId="1" xfId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41" fontId="0" fillId="0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41" fontId="3" fillId="7" borderId="1" xfId="1" applyFont="1" applyFill="1" applyBorder="1" applyAlignment="1">
      <alignment horizontal="center"/>
    </xf>
    <xf numFmtId="41" fontId="3" fillId="5" borderId="1" xfId="1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 vertical="center"/>
    </xf>
    <xf numFmtId="41" fontId="3" fillId="8" borderId="1" xfId="1" applyFont="1" applyFill="1" applyBorder="1" applyAlignment="1">
      <alignment horizontal="center"/>
    </xf>
    <xf numFmtId="41" fontId="3" fillId="6" borderId="1" xfId="1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center"/>
    </xf>
    <xf numFmtId="41" fontId="12" fillId="7" borderId="1" xfId="1" applyFont="1" applyFill="1" applyBorder="1" applyAlignment="1">
      <alignment vertical="center"/>
    </xf>
    <xf numFmtId="41" fontId="13" fillId="3" borderId="1" xfId="1" applyFont="1" applyFill="1" applyBorder="1" applyAlignment="1">
      <alignment horizontal="center"/>
    </xf>
    <xf numFmtId="14" fontId="0" fillId="8" borderId="1" xfId="0" applyNumberFormat="1" applyFont="1" applyFill="1" applyBorder="1" applyAlignment="1">
      <alignment horizontal="center" vertical="center"/>
    </xf>
    <xf numFmtId="41" fontId="11" fillId="0" borderId="1" xfId="1" applyFont="1" applyBorder="1" applyAlignment="1">
      <alignment horizontal="center"/>
    </xf>
    <xf numFmtId="41" fontId="3" fillId="9" borderId="1" xfId="1" applyFont="1" applyFill="1" applyBorder="1" applyAlignment="1">
      <alignment horizontal="center"/>
    </xf>
    <xf numFmtId="41" fontId="11" fillId="0" borderId="1" xfId="1" applyFont="1" applyFill="1" applyBorder="1" applyAlignment="1">
      <alignment horizontal="center"/>
    </xf>
    <xf numFmtId="41" fontId="5" fillId="5" borderId="1" xfId="1" applyFont="1" applyFill="1" applyBorder="1" applyAlignment="1">
      <alignment horizontal="center"/>
    </xf>
    <xf numFmtId="41" fontId="14" fillId="3" borderId="1" xfId="1" applyFont="1" applyFill="1" applyBorder="1" applyAlignment="1">
      <alignment horizontal="center"/>
    </xf>
    <xf numFmtId="41" fontId="14" fillId="0" borderId="1" xfId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41" fontId="12" fillId="0" borderId="1" xfId="1" applyFont="1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41" fontId="7" fillId="8" borderId="1" xfId="1" applyFont="1" applyFill="1" applyBorder="1" applyAlignment="1">
      <alignment horizontal="center"/>
    </xf>
    <xf numFmtId="41" fontId="7" fillId="5" borderId="1" xfId="1" applyFont="1" applyFill="1" applyBorder="1" applyAlignment="1">
      <alignment horizontal="center"/>
    </xf>
    <xf numFmtId="41" fontId="7" fillId="6" borderId="1" xfId="1" applyFont="1" applyFill="1" applyBorder="1" applyAlignment="1">
      <alignment horizontal="center"/>
    </xf>
    <xf numFmtId="41" fontId="5" fillId="6" borderId="1" xfId="1" applyFont="1" applyFill="1" applyBorder="1" applyAlignment="1">
      <alignment horizontal="center"/>
    </xf>
    <xf numFmtId="41" fontId="15" fillId="3" borderId="1" xfId="1" applyFont="1" applyFill="1" applyBorder="1" applyAlignment="1">
      <alignment horizontal="center"/>
    </xf>
    <xf numFmtId="41" fontId="3" fillId="9" borderId="1" xfId="1" applyFont="1" applyFill="1" applyBorder="1" applyAlignment="1"/>
    <xf numFmtId="0" fontId="0" fillId="0" borderId="0" xfId="0" applyAlignment="1">
      <alignment horizontal="center" vertical="center"/>
    </xf>
    <xf numFmtId="0" fontId="0" fillId="10" borderId="1" xfId="0" applyFill="1" applyBorder="1" applyAlignment="1">
      <alignment horizontal="center"/>
    </xf>
    <xf numFmtId="41" fontId="0" fillId="0" borderId="1" xfId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1" fontId="0" fillId="11" borderId="1" xfId="1" applyFont="1" applyFill="1" applyBorder="1" applyAlignment="1"/>
    <xf numFmtId="41" fontId="0" fillId="11" borderId="1" xfId="1" applyFont="1" applyFill="1" applyBorder="1" applyAlignment="1">
      <alignment horizontal="center" vertical="center"/>
    </xf>
    <xf numFmtId="41" fontId="0" fillId="0" borderId="1" xfId="1" applyFont="1" applyBorder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2" fillId="11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3" fontId="0" fillId="11" borderId="1" xfId="0" applyNumberForma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41" fontId="0" fillId="0" borderId="1" xfId="1" applyFont="1" applyFill="1" applyBorder="1" applyAlignment="1">
      <alignment horizontal="right"/>
    </xf>
    <xf numFmtId="0" fontId="17" fillId="0" borderId="1" xfId="0" applyFont="1" applyFill="1" applyBorder="1" applyAlignment="1">
      <alignment horizontal="center" vertical="center"/>
    </xf>
    <xf numFmtId="41" fontId="0" fillId="0" borderId="1" xfId="0" applyNumberFormat="1" applyBorder="1"/>
    <xf numFmtId="41" fontId="0" fillId="0" borderId="0" xfId="0" applyNumberFormat="1"/>
    <xf numFmtId="41" fontId="0" fillId="11" borderId="1" xfId="1" applyFont="1" applyFill="1" applyBorder="1" applyAlignment="1">
      <alignment horizontal="right"/>
    </xf>
    <xf numFmtId="0" fontId="0" fillId="11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right"/>
    </xf>
    <xf numFmtId="41" fontId="0" fillId="0" borderId="1" xfId="0" applyNumberFormat="1" applyFill="1" applyBorder="1" applyAlignment="1">
      <alignment horizontal="right"/>
    </xf>
    <xf numFmtId="41" fontId="0" fillId="0" borderId="1" xfId="1" applyNumberFormat="1" applyFont="1" applyBorder="1" applyAlignment="1">
      <alignment horizontal="right"/>
    </xf>
    <xf numFmtId="0" fontId="18" fillId="13" borderId="1" xfId="0" applyFont="1" applyFill="1" applyBorder="1" applyAlignment="1">
      <alignment vertical="center"/>
    </xf>
    <xf numFmtId="0" fontId="18" fillId="13" borderId="4" xfId="0" applyFont="1" applyFill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18" fillId="0" borderId="9" xfId="0" applyFont="1" applyBorder="1" applyAlignment="1">
      <alignment vertical="center"/>
    </xf>
    <xf numFmtId="0" fontId="18" fillId="14" borderId="9" xfId="0" applyFont="1" applyFill="1" applyBorder="1" applyAlignment="1">
      <alignment vertical="center"/>
    </xf>
    <xf numFmtId="0" fontId="19" fillId="14" borderId="9" xfId="0" applyFont="1" applyFill="1" applyBorder="1" applyAlignment="1">
      <alignment vertical="center"/>
    </xf>
    <xf numFmtId="0" fontId="0" fillId="0" borderId="0" xfId="0" applyAlignment="1">
      <alignment horizontal="center"/>
    </xf>
    <xf numFmtId="41" fontId="0" fillId="0" borderId="0" xfId="1" applyFont="1" applyAlignment="1"/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16" borderId="1" xfId="0" applyFont="1" applyFill="1" applyBorder="1" applyAlignment="1">
      <alignment horizontal="center" vertical="center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41" fontId="3" fillId="0" borderId="16" xfId="1" applyFont="1" applyBorder="1" applyAlignment="1">
      <alignment horizontal="center"/>
    </xf>
    <xf numFmtId="41" fontId="3" fillId="0" borderId="17" xfId="1" applyFont="1" applyBorder="1" applyAlignment="1">
      <alignment horizontal="center"/>
    </xf>
    <xf numFmtId="41" fontId="3" fillId="0" borderId="18" xfId="1" applyFont="1" applyBorder="1" applyAlignment="1">
      <alignment horizontal="center"/>
    </xf>
    <xf numFmtId="41" fontId="3" fillId="0" borderId="16" xfId="1" applyFont="1" applyFill="1" applyBorder="1" applyAlignment="1">
      <alignment horizontal="center"/>
    </xf>
    <xf numFmtId="41" fontId="3" fillId="0" borderId="17" xfId="1" applyFont="1" applyFill="1" applyBorder="1" applyAlignment="1">
      <alignment horizontal="center"/>
    </xf>
    <xf numFmtId="41" fontId="3" fillId="0" borderId="18" xfId="1" applyFont="1" applyFill="1" applyBorder="1" applyAlignment="1">
      <alignment horizontal="center"/>
    </xf>
    <xf numFmtId="41" fontId="7" fillId="0" borderId="16" xfId="1" applyFont="1" applyFill="1" applyBorder="1" applyAlignment="1">
      <alignment horizontal="center"/>
    </xf>
    <xf numFmtId="41" fontId="7" fillId="0" borderId="17" xfId="1" applyFont="1" applyFill="1" applyBorder="1" applyAlignment="1">
      <alignment horizontal="center"/>
    </xf>
    <xf numFmtId="41" fontId="7" fillId="0" borderId="18" xfId="1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0" borderId="29" xfId="0" applyFont="1" applyFill="1" applyBorder="1" applyAlignment="1">
      <alignment horizontal="center"/>
    </xf>
    <xf numFmtId="41" fontId="3" fillId="0" borderId="29" xfId="1" applyFont="1" applyBorder="1" applyAlignment="1">
      <alignment horizontal="center"/>
    </xf>
    <xf numFmtId="41" fontId="3" fillId="0" borderId="29" xfId="1" applyFont="1" applyFill="1" applyBorder="1" applyAlignment="1">
      <alignment horizontal="center"/>
    </xf>
    <xf numFmtId="41" fontId="7" fillId="0" borderId="29" xfId="1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" xfId="0" applyFont="1" applyBorder="1"/>
    <xf numFmtId="178" fontId="4" fillId="0" borderId="1" xfId="0" applyNumberFormat="1" applyFont="1" applyFill="1" applyBorder="1"/>
    <xf numFmtId="176" fontId="4" fillId="0" borderId="1" xfId="1" applyNumberFormat="1" applyFont="1" applyFill="1" applyBorder="1" applyAlignment="1"/>
    <xf numFmtId="0" fontId="4" fillId="2" borderId="2" xfId="0" applyFont="1" applyFill="1" applyBorder="1" applyAlignment="1">
      <alignment horizontal="center"/>
    </xf>
    <xf numFmtId="0" fontId="0" fillId="0" borderId="2" xfId="0" applyFont="1" applyFill="1" applyBorder="1"/>
    <xf numFmtId="176" fontId="3" fillId="0" borderId="2" xfId="1" applyNumberFormat="1" applyFont="1" applyBorder="1" applyAlignment="1"/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41" fontId="3" fillId="0" borderId="2" xfId="1" applyFont="1" applyFill="1" applyBorder="1" applyAlignment="1">
      <alignment horizontal="center"/>
    </xf>
    <xf numFmtId="41" fontId="7" fillId="0" borderId="2" xfId="1" applyFont="1" applyFill="1" applyBorder="1" applyAlignment="1">
      <alignment horizontal="center"/>
    </xf>
    <xf numFmtId="41" fontId="21" fillId="3" borderId="2" xfId="1" applyFont="1" applyFill="1" applyBorder="1" applyAlignment="1">
      <alignment horizontal="center"/>
    </xf>
    <xf numFmtId="0" fontId="20" fillId="0" borderId="0" xfId="0" applyFont="1"/>
    <xf numFmtId="0" fontId="22" fillId="0" borderId="0" xfId="0" applyFont="1" applyAlignment="1">
      <alignment horizontal="center" vertical="center"/>
    </xf>
    <xf numFmtId="0" fontId="16" fillId="0" borderId="0" xfId="0" applyFont="1"/>
    <xf numFmtId="0" fontId="23" fillId="0" borderId="0" xfId="0" applyFont="1"/>
    <xf numFmtId="0" fontId="20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41" fontId="22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176" fontId="26" fillId="0" borderId="1" xfId="0" applyNumberFormat="1" applyFont="1" applyBorder="1" applyAlignment="1">
      <alignment horizontal="center"/>
    </xf>
    <xf numFmtId="0" fontId="26" fillId="0" borderId="0" xfId="0" applyFont="1"/>
    <xf numFmtId="41" fontId="26" fillId="0" borderId="0" xfId="1" applyFont="1" applyAlignment="1"/>
    <xf numFmtId="176" fontId="26" fillId="0" borderId="0" xfId="1" applyNumberFormat="1" applyFont="1" applyAlignment="1"/>
    <xf numFmtId="0" fontId="27" fillId="0" borderId="0" xfId="0" applyFont="1"/>
    <xf numFmtId="176" fontId="26" fillId="0" borderId="1" xfId="1" applyNumberFormat="1" applyFont="1" applyBorder="1" applyAlignment="1">
      <alignment horizontal="center"/>
    </xf>
    <xf numFmtId="0" fontId="25" fillId="16" borderId="15" xfId="0" applyFont="1" applyFill="1" applyBorder="1" applyAlignment="1">
      <alignment horizontal="center" vertical="center"/>
    </xf>
    <xf numFmtId="0" fontId="25" fillId="16" borderId="16" xfId="0" applyFont="1" applyFill="1" applyBorder="1" applyAlignment="1">
      <alignment horizontal="center" vertical="center"/>
    </xf>
    <xf numFmtId="0" fontId="25" fillId="16" borderId="17" xfId="0" applyFont="1" applyFill="1" applyBorder="1" applyAlignment="1">
      <alignment horizontal="center" vertical="center" wrapText="1"/>
    </xf>
    <xf numFmtId="0" fontId="25" fillId="16" borderId="18" xfId="0" applyFont="1" applyFill="1" applyBorder="1" applyAlignment="1">
      <alignment horizontal="center" vertical="center" wrapText="1"/>
    </xf>
    <xf numFmtId="0" fontId="25" fillId="16" borderId="8" xfId="0" applyFont="1" applyFill="1" applyBorder="1" applyAlignment="1">
      <alignment horizontal="center" vertical="center" wrapText="1"/>
    </xf>
    <xf numFmtId="0" fontId="25" fillId="16" borderId="8" xfId="0" applyFont="1" applyFill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41" fontId="26" fillId="0" borderId="19" xfId="1" applyFont="1" applyFill="1" applyBorder="1" applyAlignment="1">
      <alignment horizontal="center"/>
    </xf>
    <xf numFmtId="41" fontId="26" fillId="0" borderId="20" xfId="1" applyFont="1" applyFill="1" applyBorder="1" applyAlignment="1">
      <alignment horizontal="center"/>
    </xf>
    <xf numFmtId="176" fontId="26" fillId="0" borderId="19" xfId="1" applyNumberFormat="1" applyFont="1" applyFill="1" applyBorder="1" applyAlignment="1">
      <alignment horizontal="center"/>
    </xf>
    <xf numFmtId="176" fontId="26" fillId="0" borderId="5" xfId="1" applyNumberFormat="1" applyFont="1" applyFill="1" applyBorder="1" applyAlignment="1"/>
    <xf numFmtId="41" fontId="27" fillId="0" borderId="0" xfId="0" applyNumberFormat="1" applyFont="1"/>
    <xf numFmtId="179" fontId="26" fillId="0" borderId="0" xfId="0" applyNumberFormat="1" applyFont="1"/>
    <xf numFmtId="41" fontId="26" fillId="0" borderId="0" xfId="0" applyNumberFormat="1" applyFont="1"/>
    <xf numFmtId="0" fontId="26" fillId="0" borderId="6" xfId="0" applyFont="1" applyBorder="1" applyAlignment="1">
      <alignment horizontal="center" vertical="center"/>
    </xf>
    <xf numFmtId="176" fontId="26" fillId="0" borderId="20" xfId="1" applyNumberFormat="1" applyFont="1" applyFill="1" applyBorder="1" applyAlignment="1">
      <alignment horizontal="center"/>
    </xf>
    <xf numFmtId="176" fontId="26" fillId="0" borderId="6" xfId="1" applyNumberFormat="1" applyFont="1" applyFill="1" applyBorder="1" applyAlignment="1"/>
    <xf numFmtId="0" fontId="26" fillId="0" borderId="6" xfId="0" applyFont="1" applyFill="1" applyBorder="1" applyAlignment="1">
      <alignment horizontal="center" vertical="center"/>
    </xf>
    <xf numFmtId="0" fontId="25" fillId="16" borderId="7" xfId="0" applyFont="1" applyFill="1" applyBorder="1" applyAlignment="1">
      <alignment vertical="center"/>
    </xf>
    <xf numFmtId="0" fontId="25" fillId="0" borderId="7" xfId="0" applyFont="1" applyFill="1" applyBorder="1" applyAlignment="1">
      <alignment horizontal="center" vertical="center"/>
    </xf>
    <xf numFmtId="41" fontId="25" fillId="0" borderId="21" xfId="1" applyFont="1" applyFill="1" applyBorder="1" applyAlignment="1"/>
    <xf numFmtId="176" fontId="25" fillId="0" borderId="21" xfId="1" applyNumberFormat="1" applyFont="1" applyFill="1" applyBorder="1" applyAlignment="1"/>
    <xf numFmtId="176" fontId="25" fillId="0" borderId="7" xfId="1" applyNumberFormat="1" applyFont="1" applyFill="1" applyBorder="1" applyAlignment="1"/>
    <xf numFmtId="0" fontId="26" fillId="0" borderId="30" xfId="0" applyFont="1" applyBorder="1" applyAlignment="1">
      <alignment horizontal="center" vertical="center"/>
    </xf>
    <xf numFmtId="41" fontId="26" fillId="0" borderId="1" xfId="0" applyNumberFormat="1" applyFont="1" applyBorder="1" applyAlignment="1">
      <alignment horizontal="center"/>
    </xf>
    <xf numFmtId="41" fontId="26" fillId="0" borderId="1" xfId="1" applyFont="1" applyBorder="1" applyAlignment="1">
      <alignment horizontal="center"/>
    </xf>
    <xf numFmtId="41" fontId="26" fillId="0" borderId="5" xfId="1" applyFont="1" applyFill="1" applyBorder="1" applyAlignment="1"/>
    <xf numFmtId="180" fontId="26" fillId="0" borderId="5" xfId="1" applyNumberFormat="1" applyFont="1" applyFill="1" applyBorder="1" applyAlignment="1"/>
    <xf numFmtId="41" fontId="26" fillId="0" borderId="6" xfId="1" applyFont="1" applyFill="1" applyBorder="1" applyAlignment="1"/>
    <xf numFmtId="180" fontId="26" fillId="0" borderId="6" xfId="1" applyNumberFormat="1" applyFont="1" applyFill="1" applyBorder="1" applyAlignment="1"/>
    <xf numFmtId="41" fontId="25" fillId="0" borderId="7" xfId="1" applyFont="1" applyFill="1" applyBorder="1" applyAlignment="1"/>
    <xf numFmtId="180" fontId="25" fillId="0" borderId="7" xfId="1" applyNumberFormat="1" applyFont="1" applyFill="1" applyBorder="1" applyAlignment="1"/>
    <xf numFmtId="41" fontId="28" fillId="0" borderId="0" xfId="1" applyFont="1" applyAlignment="1">
      <alignment vertical="center"/>
    </xf>
    <xf numFmtId="41" fontId="29" fillId="19" borderId="1" xfId="1" applyFont="1" applyFill="1" applyBorder="1" applyAlignment="1">
      <alignment vertical="center"/>
    </xf>
    <xf numFmtId="41" fontId="29" fillId="19" borderId="4" xfId="1" applyFont="1" applyFill="1" applyBorder="1" applyAlignment="1">
      <alignment vertical="center"/>
    </xf>
    <xf numFmtId="41" fontId="28" fillId="0" borderId="8" xfId="1" applyFont="1" applyBorder="1" applyAlignment="1">
      <alignment vertical="center"/>
    </xf>
    <xf numFmtId="41" fontId="28" fillId="0" borderId="9" xfId="1" applyFont="1" applyBorder="1" applyAlignment="1">
      <alignment vertical="center"/>
    </xf>
    <xf numFmtId="41" fontId="29" fillId="19" borderId="9" xfId="1" applyFont="1" applyFill="1" applyBorder="1" applyAlignment="1">
      <alignment vertical="center"/>
    </xf>
    <xf numFmtId="41" fontId="29" fillId="19" borderId="8" xfId="1" applyFont="1" applyFill="1" applyBorder="1" applyAlignment="1">
      <alignment vertical="center"/>
    </xf>
    <xf numFmtId="41" fontId="0" fillId="0" borderId="0" xfId="1" applyFont="1" applyAlignment="1">
      <alignment horizontal="center"/>
    </xf>
    <xf numFmtId="176" fontId="4" fillId="0" borderId="0" xfId="1" applyNumberFormat="1" applyFont="1" applyAlignment="1">
      <alignment horizontal="center"/>
    </xf>
    <xf numFmtId="0" fontId="18" fillId="0" borderId="9" xfId="0" applyFont="1" applyBorder="1" applyAlignment="1">
      <alignment vertical="center" wrapText="1"/>
    </xf>
    <xf numFmtId="0" fontId="30" fillId="0" borderId="9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1" fontId="18" fillId="0" borderId="9" xfId="0" applyNumberFormat="1" applyFont="1" applyBorder="1" applyAlignment="1">
      <alignment horizontal="center" vertical="center"/>
    </xf>
    <xf numFmtId="178" fontId="18" fillId="0" borderId="9" xfId="0" applyNumberFormat="1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5" fillId="16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41" fontId="3" fillId="0" borderId="3" xfId="1" applyFont="1" applyFill="1" applyBorder="1" applyAlignment="1">
      <alignment horizontal="center"/>
    </xf>
    <xf numFmtId="41" fontId="3" fillId="0" borderId="3" xfId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181" fontId="3" fillId="0" borderId="1" xfId="1" applyNumberFormat="1" applyFont="1" applyBorder="1" applyAlignment="1">
      <alignment horizontal="center" vertical="center"/>
    </xf>
    <xf numFmtId="181" fontId="3" fillId="0" borderId="1" xfId="1" applyNumberFormat="1" applyFont="1" applyFill="1" applyBorder="1" applyAlignment="1">
      <alignment horizontal="center" vertical="center"/>
    </xf>
    <xf numFmtId="182" fontId="18" fillId="0" borderId="9" xfId="0" applyNumberFormat="1" applyFont="1" applyBorder="1" applyAlignment="1">
      <alignment horizontal="center" vertical="center"/>
    </xf>
    <xf numFmtId="41" fontId="27" fillId="0" borderId="20" xfId="1" applyFont="1" applyFill="1" applyBorder="1" applyAlignment="1">
      <alignment horizontal="center"/>
    </xf>
    <xf numFmtId="0" fontId="25" fillId="0" borderId="4" xfId="0" applyFont="1" applyBorder="1" applyAlignment="1">
      <alignment horizontal="center"/>
    </xf>
    <xf numFmtId="0" fontId="0" fillId="20" borderId="1" xfId="0" applyFill="1" applyBorder="1"/>
    <xf numFmtId="41" fontId="0" fillId="0" borderId="8" xfId="0" applyNumberFormat="1" applyBorder="1"/>
    <xf numFmtId="0" fontId="0" fillId="20" borderId="11" xfId="0" applyFill="1" applyBorder="1"/>
    <xf numFmtId="0" fontId="16" fillId="0" borderId="1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25" fillId="16" borderId="8" xfId="0" applyFont="1" applyFill="1" applyBorder="1" applyAlignment="1">
      <alignment horizontal="center" vertical="center"/>
    </xf>
    <xf numFmtId="41" fontId="3" fillId="0" borderId="0" xfId="1" applyFont="1" applyFill="1" applyBorder="1" applyAlignment="1"/>
    <xf numFmtId="0" fontId="18" fillId="21" borderId="1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right" vertical="center"/>
    </xf>
    <xf numFmtId="0" fontId="0" fillId="0" borderId="0" xfId="0" applyFill="1" applyBorder="1"/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/>
    </xf>
    <xf numFmtId="0" fontId="25" fillId="16" borderId="8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41" fontId="12" fillId="8" borderId="1" xfId="1" applyFont="1" applyFill="1" applyBorder="1" applyAlignment="1">
      <alignment vertical="center"/>
    </xf>
    <xf numFmtId="0" fontId="25" fillId="16" borderId="8" xfId="0" applyFont="1" applyFill="1" applyBorder="1" applyAlignment="1">
      <alignment horizontal="center" vertical="center"/>
    </xf>
    <xf numFmtId="0" fontId="25" fillId="16" borderId="8" xfId="0" applyFont="1" applyFill="1" applyBorder="1" applyAlignment="1">
      <alignment horizontal="center" vertical="center"/>
    </xf>
    <xf numFmtId="0" fontId="3" fillId="0" borderId="0" xfId="0" applyFont="1" applyBorder="1"/>
    <xf numFmtId="0" fontId="25" fillId="16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5" fillId="16" borderId="8" xfId="0" applyFont="1" applyFill="1" applyBorder="1" applyAlignment="1">
      <alignment horizontal="center" vertical="center"/>
    </xf>
    <xf numFmtId="0" fontId="25" fillId="16" borderId="8" xfId="0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41" fontId="0" fillId="0" borderId="0" xfId="0" applyNumberFormat="1" applyBorder="1" applyAlignment="1"/>
    <xf numFmtId="0" fontId="0" fillId="0" borderId="15" xfId="0" applyBorder="1" applyAlignment="1">
      <alignment horizontal="center"/>
    </xf>
    <xf numFmtId="0" fontId="25" fillId="16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82" fontId="26" fillId="0" borderId="0" xfId="0" applyNumberFormat="1" applyFont="1"/>
    <xf numFmtId="176" fontId="26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5" fillId="16" borderId="1" xfId="0" applyFont="1" applyFill="1" applyBorder="1" applyAlignment="1">
      <alignment horizontal="center" vertical="center" wrapText="1"/>
    </xf>
    <xf numFmtId="41" fontId="25" fillId="0" borderId="1" xfId="1" applyFont="1" applyFill="1" applyBorder="1" applyAlignment="1"/>
    <xf numFmtId="41" fontId="26" fillId="0" borderId="5" xfId="1" applyFont="1" applyFill="1" applyBorder="1" applyAlignment="1">
      <alignment horizontal="center"/>
    </xf>
    <xf numFmtId="176" fontId="26" fillId="0" borderId="5" xfId="1" applyNumberFormat="1" applyFont="1" applyFill="1" applyBorder="1" applyAlignment="1">
      <alignment horizontal="center"/>
    </xf>
    <xf numFmtId="41" fontId="26" fillId="0" borderId="6" xfId="1" applyFont="1" applyFill="1" applyBorder="1" applyAlignment="1">
      <alignment horizontal="center"/>
    </xf>
    <xf numFmtId="176" fontId="26" fillId="0" borderId="6" xfId="1" applyNumberFormat="1" applyFont="1" applyFill="1" applyBorder="1" applyAlignment="1">
      <alignment horizontal="center"/>
    </xf>
    <xf numFmtId="176" fontId="26" fillId="0" borderId="7" xfId="1" applyNumberFormat="1" applyFont="1" applyFill="1" applyBorder="1" applyAlignment="1"/>
    <xf numFmtId="176" fontId="26" fillId="0" borderId="7" xfId="1" applyNumberFormat="1" applyFont="1" applyFill="1" applyBorder="1" applyAlignment="1">
      <alignment horizontal="center"/>
    </xf>
    <xf numFmtId="41" fontId="26" fillId="0" borderId="32" xfId="1" applyFont="1" applyFill="1" applyBorder="1" applyAlignment="1">
      <alignment horizontal="center"/>
    </xf>
    <xf numFmtId="0" fontId="30" fillId="0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82" fontId="18" fillId="0" borderId="1" xfId="0" applyNumberFormat="1" applyFont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5" fillId="16" borderId="1" xfId="0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26" fillId="0" borderId="1" xfId="0" quotePrefix="1" applyFont="1" applyBorder="1" applyAlignment="1">
      <alignment horizontal="center"/>
    </xf>
    <xf numFmtId="176" fontId="26" fillId="0" borderId="1" xfId="0" quotePrefix="1" applyNumberFormat="1" applyFont="1" applyBorder="1" applyAlignment="1">
      <alignment horizontal="center"/>
    </xf>
    <xf numFmtId="0" fontId="25" fillId="0" borderId="7" xfId="0" applyFont="1" applyFill="1" applyBorder="1" applyAlignment="1">
      <alignment horizontal="center" vertical="center"/>
    </xf>
    <xf numFmtId="0" fontId="25" fillId="16" borderId="1" xfId="0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 vertical="center"/>
    </xf>
    <xf numFmtId="183" fontId="0" fillId="0" borderId="1" xfId="0" applyNumberFormat="1" applyFill="1" applyBorder="1" applyAlignment="1">
      <alignment horizontal="right"/>
    </xf>
    <xf numFmtId="183" fontId="12" fillId="0" borderId="1" xfId="0" applyNumberFormat="1" applyFont="1" applyBorder="1" applyAlignment="1">
      <alignment vertical="center"/>
    </xf>
    <xf numFmtId="183" fontId="28" fillId="0" borderId="1" xfId="0" applyNumberFormat="1" applyFont="1" applyBorder="1"/>
    <xf numFmtId="183" fontId="0" fillId="0" borderId="1" xfId="1" applyNumberFormat="1" applyFont="1" applyFill="1" applyBorder="1" applyAlignment="1">
      <alignment horizontal="right"/>
    </xf>
    <xf numFmtId="0" fontId="0" fillId="0" borderId="3" xfId="0" applyFont="1" applyBorder="1" applyAlignment="1">
      <alignment horizontal="center"/>
    </xf>
    <xf numFmtId="177" fontId="18" fillId="0" borderId="9" xfId="0" applyNumberFormat="1" applyFont="1" applyBorder="1" applyAlignment="1">
      <alignment horizontal="center" vertical="center"/>
    </xf>
    <xf numFmtId="0" fontId="32" fillId="2" borderId="1" xfId="0" applyFont="1" applyFill="1" applyBorder="1" applyAlignment="1">
      <alignment horizontal="center"/>
    </xf>
    <xf numFmtId="41" fontId="26" fillId="0" borderId="11" xfId="1" applyFont="1" applyFill="1" applyBorder="1" applyAlignment="1">
      <alignment horizontal="center"/>
    </xf>
    <xf numFmtId="176" fontId="26" fillId="0" borderId="30" xfId="1" applyNumberFormat="1" applyFont="1" applyFill="1" applyBorder="1" applyAlignment="1">
      <alignment horizontal="center"/>
    </xf>
    <xf numFmtId="176" fontId="26" fillId="0" borderId="14" xfId="1" applyNumberFormat="1" applyFont="1" applyFill="1" applyBorder="1" applyAlignment="1">
      <alignment horizontal="center"/>
    </xf>
    <xf numFmtId="41" fontId="26" fillId="0" borderId="30" xfId="1" applyFont="1" applyFill="1" applyBorder="1" applyAlignment="1">
      <alignment horizontal="center"/>
    </xf>
    <xf numFmtId="176" fontId="26" fillId="0" borderId="11" xfId="1" applyNumberFormat="1" applyFont="1" applyFill="1" applyBorder="1" applyAlignment="1">
      <alignment horizontal="center"/>
    </xf>
    <xf numFmtId="41" fontId="22" fillId="0" borderId="1" xfId="0" applyNumberFormat="1" applyFont="1" applyBorder="1"/>
    <xf numFmtId="0" fontId="25" fillId="0" borderId="4" xfId="0" applyFont="1" applyBorder="1" applyAlignment="1">
      <alignment horizontal="center" vertical="center"/>
    </xf>
    <xf numFmtId="41" fontId="26" fillId="0" borderId="14" xfId="1" applyFont="1" applyFill="1" applyBorder="1" applyAlignment="1">
      <alignment horizontal="center"/>
    </xf>
    <xf numFmtId="0" fontId="30" fillId="0" borderId="13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3" xfId="0" applyBorder="1"/>
    <xf numFmtId="3" fontId="0" fillId="0" borderId="3" xfId="0" applyNumberFormat="1" applyBorder="1"/>
    <xf numFmtId="0" fontId="3" fillId="0" borderId="0" xfId="0" applyFont="1" applyFill="1" applyBorder="1" applyAlignment="1">
      <alignment horizontal="center"/>
    </xf>
    <xf numFmtId="0" fontId="4" fillId="0" borderId="4" xfId="0" applyFont="1" applyBorder="1"/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0" fillId="0" borderId="0" xfId="0" applyFont="1" applyBorder="1"/>
    <xf numFmtId="184" fontId="0" fillId="0" borderId="1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41" fontId="21" fillId="0" borderId="1" xfId="1" applyFont="1" applyFill="1" applyBorder="1" applyAlignment="1"/>
    <xf numFmtId="0" fontId="4" fillId="0" borderId="0" xfId="0" applyFont="1" applyBorder="1"/>
    <xf numFmtId="0" fontId="4" fillId="0" borderId="11" xfId="0" applyFont="1" applyBorder="1"/>
    <xf numFmtId="184" fontId="4" fillId="0" borderId="0" xfId="0" applyNumberFormat="1" applyFont="1" applyBorder="1"/>
    <xf numFmtId="184" fontId="4" fillId="3" borderId="1" xfId="0" quotePrefix="1" applyNumberFormat="1" applyFont="1" applyFill="1" applyBorder="1" applyAlignment="1">
      <alignment horizontal="center"/>
    </xf>
    <xf numFmtId="184" fontId="4" fillId="0" borderId="0" xfId="0" applyNumberFormat="1" applyFont="1"/>
    <xf numFmtId="0" fontId="0" fillId="4" borderId="1" xfId="0" applyFill="1" applyBorder="1"/>
    <xf numFmtId="0" fontId="25" fillId="0" borderId="7" xfId="0" applyFont="1" applyFill="1" applyBorder="1" applyAlignment="1">
      <alignment horizontal="center" vertical="center"/>
    </xf>
    <xf numFmtId="0" fontId="25" fillId="16" borderId="1" xfId="0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41" fontId="21" fillId="3" borderId="1" xfId="1" applyFont="1" applyFill="1" applyBorder="1" applyAlignment="1">
      <alignment horizontal="center"/>
    </xf>
    <xf numFmtId="41" fontId="21" fillId="0" borderId="1" xfId="1" applyFont="1" applyFill="1" applyBorder="1" applyAlignment="1">
      <alignment horizontal="center"/>
    </xf>
    <xf numFmtId="41" fontId="20" fillId="0" borderId="1" xfId="1" applyFont="1" applyFill="1" applyBorder="1" applyAlignment="1">
      <alignment horizontal="center"/>
    </xf>
    <xf numFmtId="41" fontId="20" fillId="0" borderId="1" xfId="1" applyFont="1" applyBorder="1" applyAlignment="1">
      <alignment horizontal="center"/>
    </xf>
    <xf numFmtId="0" fontId="0" fillId="0" borderId="1" xfId="0" applyFont="1" applyFill="1" applyBorder="1"/>
    <xf numFmtId="0" fontId="20" fillId="0" borderId="1" xfId="0" applyFont="1" applyFill="1" applyBorder="1" applyAlignment="1">
      <alignment horizontal="center"/>
    </xf>
    <xf numFmtId="181" fontId="22" fillId="0" borderId="1" xfId="1" applyNumberFormat="1" applyFont="1" applyBorder="1" applyAlignment="1">
      <alignment horizontal="center" vertical="center"/>
    </xf>
    <xf numFmtId="0" fontId="33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25" fillId="0" borderId="7" xfId="0" applyFont="1" applyFill="1" applyBorder="1" applyAlignment="1">
      <alignment horizontal="center" vertical="center"/>
    </xf>
    <xf numFmtId="0" fontId="25" fillId="16" borderId="1" xfId="0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 vertical="center"/>
    </xf>
    <xf numFmtId="184" fontId="23" fillId="0" borderId="0" xfId="1" applyNumberFormat="1" applyFont="1" applyAlignment="1"/>
    <xf numFmtId="181" fontId="4" fillId="0" borderId="1" xfId="1" applyNumberFormat="1" applyFont="1" applyFill="1" applyBorder="1" applyAlignment="1"/>
    <xf numFmtId="0" fontId="25" fillId="16" borderId="1" xfId="0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0" xfId="0" applyFill="1"/>
    <xf numFmtId="0" fontId="0" fillId="0" borderId="15" xfId="0" applyFill="1" applyBorder="1"/>
    <xf numFmtId="0" fontId="30" fillId="0" borderId="8" xfId="0" applyFont="1" applyBorder="1" applyAlignment="1">
      <alignment horizontal="center" vertical="center"/>
    </xf>
    <xf numFmtId="0" fontId="0" fillId="0" borderId="11" xfId="0" applyBorder="1"/>
    <xf numFmtId="41" fontId="3" fillId="0" borderId="11" xfId="1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" vertical="center"/>
    </xf>
    <xf numFmtId="176" fontId="4" fillId="0" borderId="11" xfId="1" applyNumberFormat="1" applyFont="1" applyFill="1" applyBorder="1" applyAlignment="1"/>
    <xf numFmtId="181" fontId="4" fillId="0" borderId="11" xfId="1" applyNumberFormat="1" applyFont="1" applyFill="1" applyBorder="1" applyAlignment="1"/>
    <xf numFmtId="41" fontId="3" fillId="0" borderId="0" xfId="0" applyNumberFormat="1" applyFont="1"/>
    <xf numFmtId="41" fontId="3" fillId="0" borderId="0" xfId="1" applyFont="1" applyBorder="1" applyAlignment="1">
      <alignment horizontal="center"/>
    </xf>
    <xf numFmtId="0" fontId="0" fillId="0" borderId="8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176" fontId="4" fillId="0" borderId="0" xfId="1" applyNumberFormat="1" applyFont="1" applyFill="1" applyBorder="1" applyAlignment="1"/>
    <xf numFmtId="185" fontId="0" fillId="0" borderId="1" xfId="0" applyNumberFormat="1" applyBorder="1"/>
    <xf numFmtId="185" fontId="4" fillId="2" borderId="1" xfId="0" applyNumberFormat="1" applyFont="1" applyFill="1" applyBorder="1" applyAlignment="1">
      <alignment horizontal="center" vertical="center"/>
    </xf>
    <xf numFmtId="41" fontId="3" fillId="0" borderId="4" xfId="1" applyFont="1" applyFill="1" applyBorder="1" applyAlignment="1"/>
    <xf numFmtId="0" fontId="3" fillId="0" borderId="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41" fontId="3" fillId="0" borderId="11" xfId="1" applyFont="1" applyFill="1" applyBorder="1" applyAlignment="1"/>
    <xf numFmtId="176" fontId="3" fillId="0" borderId="11" xfId="1" applyNumberFormat="1" applyFont="1" applyFill="1" applyBorder="1" applyAlignment="1"/>
    <xf numFmtId="0" fontId="3" fillId="0" borderId="1" xfId="0" applyFont="1" applyBorder="1"/>
    <xf numFmtId="176" fontId="3" fillId="0" borderId="0" xfId="1" applyNumberFormat="1" applyFont="1" applyBorder="1" applyAlignment="1"/>
    <xf numFmtId="0" fontId="30" fillId="0" borderId="0" xfId="0" applyFont="1" applyBorder="1" applyAlignment="1">
      <alignment horizontal="center" vertical="center"/>
    </xf>
    <xf numFmtId="177" fontId="18" fillId="0" borderId="0" xfId="0" applyNumberFormat="1" applyFont="1" applyBorder="1" applyAlignment="1">
      <alignment horizontal="center" vertical="center"/>
    </xf>
    <xf numFmtId="182" fontId="18" fillId="0" borderId="0" xfId="0" applyNumberFormat="1" applyFont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1" fontId="18" fillId="0" borderId="0" xfId="0" applyNumberFormat="1" applyFont="1" applyFill="1" applyBorder="1" applyAlignment="1">
      <alignment horizontal="center" vertical="center"/>
    </xf>
    <xf numFmtId="178" fontId="18" fillId="0" borderId="0" xfId="0" applyNumberFormat="1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5" fillId="16" borderId="1" xfId="0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 vertical="center"/>
    </xf>
    <xf numFmtId="0" fontId="26" fillId="0" borderId="0" xfId="0" applyFont="1" applyFill="1"/>
    <xf numFmtId="41" fontId="26" fillId="0" borderId="7" xfId="1" applyFont="1" applyFill="1" applyBorder="1" applyAlignment="1">
      <alignment horizontal="center"/>
    </xf>
    <xf numFmtId="182" fontId="26" fillId="0" borderId="0" xfId="0" quotePrefix="1" applyNumberFormat="1" applyFont="1"/>
    <xf numFmtId="0" fontId="25" fillId="0" borderId="7" xfId="0" applyFont="1" applyFill="1" applyBorder="1" applyAlignment="1">
      <alignment horizontal="center" vertical="center"/>
    </xf>
    <xf numFmtId="0" fontId="25" fillId="16" borderId="1" xfId="0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41" fontId="35" fillId="0" borderId="5" xfId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5" fillId="16" borderId="1" xfId="0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9" xfId="0" applyFont="1" applyBorder="1" applyAlignment="1">
      <alignment horizontal="right" vertical="center"/>
    </xf>
    <xf numFmtId="0" fontId="12" fillId="0" borderId="9" xfId="0" applyFont="1" applyBorder="1" applyAlignment="1">
      <alignment vertical="center"/>
    </xf>
    <xf numFmtId="0" fontId="20" fillId="0" borderId="11" xfId="0" applyFont="1" applyBorder="1"/>
    <xf numFmtId="0" fontId="28" fillId="0" borderId="0" xfId="0" applyFont="1" applyAlignment="1">
      <alignment vertical="top" wrapText="1"/>
    </xf>
    <xf numFmtId="41" fontId="3" fillId="0" borderId="0" xfId="1" applyFont="1" applyBorder="1" applyAlignment="1"/>
    <xf numFmtId="41" fontId="5" fillId="0" borderId="0" xfId="1" applyFont="1" applyFill="1" applyBorder="1" applyAlignment="1">
      <alignment horizontal="center"/>
    </xf>
    <xf numFmtId="0" fontId="20" fillId="11" borderId="0" xfId="0" applyFont="1" applyFill="1" applyAlignment="1">
      <alignment horizontal="center"/>
    </xf>
    <xf numFmtId="0" fontId="25" fillId="16" borderId="1" xfId="0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176" fontId="3" fillId="0" borderId="11" xfId="1" applyNumberFormat="1" applyFont="1" applyBorder="1" applyAlignment="1"/>
    <xf numFmtId="41" fontId="3" fillId="5" borderId="11" xfId="1" applyFont="1" applyFill="1" applyBorder="1" applyAlignment="1">
      <alignment horizontal="center"/>
    </xf>
    <xf numFmtId="0" fontId="17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0" borderId="1" xfId="0" quotePrefix="1" applyBorder="1" applyAlignment="1">
      <alignment horizontal="right"/>
    </xf>
    <xf numFmtId="0" fontId="25" fillId="0" borderId="7" xfId="0" applyFont="1" applyFill="1" applyBorder="1" applyAlignment="1">
      <alignment horizontal="center" vertical="center"/>
    </xf>
    <xf numFmtId="0" fontId="25" fillId="16" borderId="1" xfId="0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 vertical="center"/>
    </xf>
    <xf numFmtId="41" fontId="0" fillId="0" borderId="0" xfId="0" applyNumberFormat="1" applyFill="1" applyBorder="1"/>
    <xf numFmtId="41" fontId="3" fillId="0" borderId="0" xfId="1" applyFont="1" applyFill="1" applyBorder="1" applyAlignment="1">
      <alignment horizontal="center" vertical="center"/>
    </xf>
    <xf numFmtId="0" fontId="25" fillId="16" borderId="1" xfId="0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186" fontId="0" fillId="10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77" fontId="3" fillId="0" borderId="0" xfId="0" applyNumberFormat="1" applyFont="1" applyFill="1" applyBorder="1" applyAlignment="1">
      <alignment horizontal="center"/>
    </xf>
    <xf numFmtId="176" fontId="4" fillId="0" borderId="0" xfId="1" applyNumberFormat="1" applyFont="1" applyFill="1" applyBorder="1" applyAlignment="1">
      <alignment horizontal="center"/>
    </xf>
    <xf numFmtId="41" fontId="3" fillId="0" borderId="0" xfId="1" applyNumberFormat="1" applyFont="1" applyFill="1" applyBorder="1" applyAlignment="1"/>
    <xf numFmtId="176" fontId="3" fillId="0" borderId="0" xfId="1" applyNumberFormat="1" applyFont="1" applyFill="1" applyBorder="1" applyAlignment="1"/>
    <xf numFmtId="0" fontId="25" fillId="16" borderId="1" xfId="0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0" xfId="0" applyFont="1"/>
    <xf numFmtId="0" fontId="20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5" fillId="0" borderId="7" xfId="0" applyFont="1" applyFill="1" applyBorder="1" applyAlignment="1">
      <alignment horizontal="center" vertical="center"/>
    </xf>
    <xf numFmtId="0" fontId="25" fillId="16" borderId="1" xfId="0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 vertical="center"/>
    </xf>
    <xf numFmtId="0" fontId="20" fillId="0" borderId="34" xfId="0" applyFont="1" applyBorder="1"/>
    <xf numFmtId="0" fontId="0" fillId="0" borderId="0" xfId="0" applyFont="1" applyBorder="1"/>
    <xf numFmtId="0" fontId="3" fillId="0" borderId="1" xfId="0" applyFont="1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25" fillId="16" borderId="1" xfId="0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5" fillId="16" borderId="1" xfId="0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1" fontId="4" fillId="0" borderId="0" xfId="1" applyNumberFormat="1" applyFont="1" applyFill="1" applyBorder="1" applyAlignment="1">
      <alignment horizontal="center"/>
    </xf>
    <xf numFmtId="41" fontId="21" fillId="0" borderId="0" xfId="1" applyFont="1" applyFill="1" applyBorder="1" applyAlignment="1"/>
    <xf numFmtId="0" fontId="25" fillId="16" borderId="1" xfId="0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41" fontId="22" fillId="0" borderId="0" xfId="0" applyNumberFormat="1" applyFont="1" applyBorder="1"/>
    <xf numFmtId="0" fontId="0" fillId="0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5" fillId="16" borderId="1" xfId="0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14" fontId="0" fillId="11" borderId="2" xfId="0" applyNumberFormat="1" applyFill="1" applyBorder="1" applyAlignment="1">
      <alignment horizontal="center"/>
    </xf>
    <xf numFmtId="14" fontId="0" fillId="11" borderId="4" xfId="0" applyNumberForma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14" fontId="0" fillId="0" borderId="4" xfId="0" applyNumberFormat="1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41" fontId="0" fillId="10" borderId="1" xfId="1" applyFont="1" applyFill="1" applyBorder="1" applyAlignment="1">
      <alignment horizontal="center"/>
    </xf>
    <xf numFmtId="41" fontId="0" fillId="10" borderId="4" xfId="1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41" fontId="0" fillId="10" borderId="1" xfId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/>
    </xf>
    <xf numFmtId="0" fontId="12" fillId="0" borderId="1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5" xfId="0" applyBorder="1" applyAlignment="1"/>
    <xf numFmtId="0" fontId="30" fillId="0" borderId="11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/>
    <xf numFmtId="0" fontId="0" fillId="0" borderId="4" xfId="0" applyBorder="1" applyAlignment="1"/>
    <xf numFmtId="14" fontId="0" fillId="0" borderId="2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4" fontId="0" fillId="0" borderId="2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28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28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8" xfId="0" applyBorder="1" applyAlignment="1">
      <alignment horizontal="center"/>
    </xf>
    <xf numFmtId="0" fontId="30" fillId="0" borderId="4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25" fillId="0" borderId="7" xfId="0" applyFont="1" applyFill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center"/>
    </xf>
    <xf numFmtId="0" fontId="25" fillId="3" borderId="6" xfId="0" applyFont="1" applyFill="1" applyBorder="1" applyAlignment="1">
      <alignment horizontal="center" vertical="center"/>
    </xf>
    <xf numFmtId="0" fontId="25" fillId="3" borderId="7" xfId="0" applyFont="1" applyFill="1" applyBorder="1" applyAlignment="1">
      <alignment horizontal="center" vertical="center"/>
    </xf>
    <xf numFmtId="41" fontId="25" fillId="0" borderId="5" xfId="1" applyFont="1" applyFill="1" applyBorder="1" applyAlignment="1">
      <alignment horizontal="center" vertical="center"/>
    </xf>
    <xf numFmtId="41" fontId="25" fillId="0" borderId="6" xfId="1" applyFont="1" applyFill="1" applyBorder="1" applyAlignment="1">
      <alignment horizontal="center" vertical="center"/>
    </xf>
    <xf numFmtId="41" fontId="25" fillId="0" borderId="7" xfId="1" applyFont="1" applyFill="1" applyBorder="1" applyAlignment="1">
      <alignment horizontal="center" vertical="center"/>
    </xf>
    <xf numFmtId="41" fontId="25" fillId="0" borderId="2" xfId="1" applyFont="1" applyFill="1" applyBorder="1" applyAlignment="1"/>
    <xf numFmtId="41" fontId="25" fillId="0" borderId="4" xfId="1" applyFont="1" applyFill="1" applyBorder="1" applyAlignment="1"/>
    <xf numFmtId="0" fontId="25" fillId="16" borderId="11" xfId="0" applyFont="1" applyFill="1" applyBorder="1" applyAlignment="1">
      <alignment horizontal="center" vertical="center"/>
    </xf>
    <xf numFmtId="0" fontId="25" fillId="16" borderId="14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25" fillId="16" borderId="11" xfId="0" applyFont="1" applyFill="1" applyBorder="1" applyAlignment="1">
      <alignment horizontal="center" vertical="center" wrapText="1"/>
    </xf>
    <xf numFmtId="41" fontId="25" fillId="0" borderId="5" xfId="0" applyNumberFormat="1" applyFont="1" applyFill="1" applyBorder="1" applyAlignment="1">
      <alignment horizontal="center" vertical="center"/>
    </xf>
    <xf numFmtId="0" fontId="25" fillId="16" borderId="1" xfId="0" applyFont="1" applyFill="1" applyBorder="1" applyAlignment="1">
      <alignment horizontal="center" vertical="center" wrapText="1"/>
    </xf>
    <xf numFmtId="0" fontId="25" fillId="16" borderId="1" xfId="0" applyFont="1" applyFill="1" applyBorder="1" applyAlignment="1">
      <alignment horizontal="center" vertical="center"/>
    </xf>
    <xf numFmtId="0" fontId="25" fillId="16" borderId="2" xfId="0" applyFont="1" applyFill="1" applyBorder="1" applyAlignment="1">
      <alignment horizontal="center" vertical="center"/>
    </xf>
    <xf numFmtId="0" fontId="25" fillId="16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1" fontId="25" fillId="16" borderId="1" xfId="1" applyFont="1" applyFill="1" applyBorder="1" applyAlignment="1">
      <alignment horizontal="center" vertical="center"/>
    </xf>
    <xf numFmtId="176" fontId="25" fillId="16" borderId="1" xfId="1" applyNumberFormat="1" applyFont="1" applyFill="1" applyBorder="1" applyAlignment="1">
      <alignment horizontal="center" vertical="center" wrapText="1"/>
    </xf>
    <xf numFmtId="176" fontId="25" fillId="16" borderId="1" xfId="1" applyNumberFormat="1" applyFont="1" applyFill="1" applyBorder="1" applyAlignment="1">
      <alignment horizontal="center" vertical="center"/>
    </xf>
    <xf numFmtId="0" fontId="24" fillId="15" borderId="11" xfId="0" applyFont="1" applyFill="1" applyBorder="1" applyAlignment="1">
      <alignment horizontal="center" vertical="center"/>
    </xf>
    <xf numFmtId="0" fontId="25" fillId="15" borderId="8" xfId="0" applyFont="1" applyFill="1" applyBorder="1" applyAlignment="1">
      <alignment horizontal="center" vertical="center"/>
    </xf>
    <xf numFmtId="0" fontId="25" fillId="15" borderId="1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6" fillId="0" borderId="2" xfId="0" quotePrefix="1" applyFont="1" applyBorder="1" applyAlignment="1">
      <alignment horizontal="center"/>
    </xf>
    <xf numFmtId="0" fontId="26" fillId="0" borderId="2" xfId="0" quotePrefix="1" applyFont="1" applyBorder="1" applyAlignment="1">
      <alignment horizontal="center" vertical="center" wrapText="1"/>
    </xf>
    <xf numFmtId="0" fontId="26" fillId="0" borderId="4" xfId="0" quotePrefix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25" fillId="16" borderId="14" xfId="0" applyFont="1" applyFill="1" applyBorder="1" applyAlignment="1">
      <alignment horizontal="center" vertical="center" wrapText="1"/>
    </xf>
    <xf numFmtId="0" fontId="25" fillId="16" borderId="8" xfId="0" applyFont="1" applyFill="1" applyBorder="1" applyAlignment="1">
      <alignment horizontal="center" vertical="center"/>
    </xf>
    <xf numFmtId="0" fontId="25" fillId="16" borderId="4" xfId="0" applyFont="1" applyFill="1" applyBorder="1" applyAlignment="1">
      <alignment horizontal="center" vertical="center"/>
    </xf>
    <xf numFmtId="0" fontId="25" fillId="16" borderId="5" xfId="0" applyFont="1" applyFill="1" applyBorder="1" applyAlignment="1">
      <alignment horizontal="center" vertical="center"/>
    </xf>
    <xf numFmtId="0" fontId="25" fillId="16" borderId="6" xfId="0" applyFont="1" applyFill="1" applyBorder="1" applyAlignment="1">
      <alignment horizontal="center" vertical="center"/>
    </xf>
    <xf numFmtId="0" fontId="25" fillId="0" borderId="22" xfId="0" applyFont="1" applyFill="1" applyBorder="1" applyAlignment="1">
      <alignment horizontal="center" vertical="center"/>
    </xf>
    <xf numFmtId="0" fontId="25" fillId="0" borderId="23" xfId="0" applyFont="1" applyFill="1" applyBorder="1" applyAlignment="1">
      <alignment horizontal="center" vertical="center"/>
    </xf>
    <xf numFmtId="0" fontId="25" fillId="0" borderId="24" xfId="0" applyFont="1" applyFill="1" applyBorder="1" applyAlignment="1">
      <alignment horizontal="center" vertical="center"/>
    </xf>
    <xf numFmtId="0" fontId="25" fillId="0" borderId="25" xfId="0" applyFont="1" applyFill="1" applyBorder="1" applyAlignment="1">
      <alignment horizontal="center" vertical="center"/>
    </xf>
    <xf numFmtId="0" fontId="25" fillId="0" borderId="26" xfId="0" applyFont="1" applyFill="1" applyBorder="1" applyAlignment="1">
      <alignment horizontal="center" vertical="center"/>
    </xf>
    <xf numFmtId="0" fontId="25" fillId="0" borderId="27" xfId="0" applyFont="1" applyFill="1" applyBorder="1" applyAlignment="1">
      <alignment horizontal="center" vertical="center"/>
    </xf>
    <xf numFmtId="41" fontId="25" fillId="16" borderId="10" xfId="1" applyFont="1" applyFill="1" applyBorder="1" applyAlignment="1">
      <alignment horizontal="center" vertical="center"/>
    </xf>
    <xf numFmtId="41" fontId="25" fillId="16" borderId="13" xfId="1" applyFont="1" applyFill="1" applyBorder="1" applyAlignment="1">
      <alignment horizontal="center" vertical="center"/>
    </xf>
    <xf numFmtId="41" fontId="25" fillId="16" borderId="9" xfId="1" applyFont="1" applyFill="1" applyBorder="1" applyAlignment="1">
      <alignment horizontal="center" vertical="center"/>
    </xf>
    <xf numFmtId="176" fontId="25" fillId="16" borderId="11" xfId="1" applyNumberFormat="1" applyFont="1" applyFill="1" applyBorder="1" applyAlignment="1">
      <alignment horizontal="center" vertical="center" wrapText="1"/>
    </xf>
    <xf numFmtId="176" fontId="25" fillId="16" borderId="14" xfId="1" applyNumberFormat="1" applyFont="1" applyFill="1" applyBorder="1" applyAlignment="1">
      <alignment horizontal="center" vertical="center"/>
    </xf>
    <xf numFmtId="176" fontId="25" fillId="16" borderId="8" xfId="1" applyNumberFormat="1" applyFont="1" applyFill="1" applyBorder="1" applyAlignment="1">
      <alignment horizontal="center" vertical="center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 wrapText="1"/>
    </xf>
    <xf numFmtId="0" fontId="25" fillId="16" borderId="12" xfId="0" applyFont="1" applyFill="1" applyBorder="1" applyAlignment="1">
      <alignment horizontal="center" vertical="center" wrapText="1"/>
    </xf>
    <xf numFmtId="0" fontId="25" fillId="16" borderId="9" xfId="0" applyFont="1" applyFill="1" applyBorder="1" applyAlignment="1">
      <alignment horizontal="center" vertical="center" wrapText="1"/>
    </xf>
    <xf numFmtId="0" fontId="25" fillId="3" borderId="11" xfId="0" applyFont="1" applyFill="1" applyBorder="1" applyAlignment="1">
      <alignment horizontal="center" vertical="center"/>
    </xf>
    <xf numFmtId="0" fontId="25" fillId="3" borderId="14" xfId="0" applyFont="1" applyFill="1" applyBorder="1" applyAlignment="1">
      <alignment horizontal="center" vertical="center"/>
    </xf>
    <xf numFmtId="0" fontId="25" fillId="3" borderId="8" xfId="0" applyFont="1" applyFill="1" applyBorder="1" applyAlignment="1">
      <alignment horizontal="center" vertical="center"/>
    </xf>
    <xf numFmtId="41" fontId="25" fillId="0" borderId="11" xfId="1" applyFont="1" applyFill="1" applyBorder="1" applyAlignment="1">
      <alignment horizontal="center" vertical="center"/>
    </xf>
    <xf numFmtId="41" fontId="25" fillId="0" borderId="14" xfId="1" applyFont="1" applyFill="1" applyBorder="1" applyAlignment="1">
      <alignment horizontal="center" vertical="center"/>
    </xf>
    <xf numFmtId="41" fontId="25" fillId="0" borderId="8" xfId="1" applyFont="1" applyFill="1" applyBorder="1" applyAlignment="1">
      <alignment horizontal="center" vertical="center"/>
    </xf>
    <xf numFmtId="0" fontId="25" fillId="16" borderId="30" xfId="0" applyFont="1" applyFill="1" applyBorder="1" applyAlignment="1">
      <alignment horizontal="center" vertical="center"/>
    </xf>
    <xf numFmtId="41" fontId="25" fillId="0" borderId="11" xfId="0" applyNumberFormat="1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center"/>
    </xf>
    <xf numFmtId="41" fontId="25" fillId="0" borderId="22" xfId="1" applyFont="1" applyFill="1" applyBorder="1" applyAlignment="1">
      <alignment horizontal="center" vertical="center"/>
    </xf>
    <xf numFmtId="41" fontId="25" fillId="0" borderId="23" xfId="1" applyFont="1" applyFill="1" applyBorder="1" applyAlignment="1">
      <alignment horizontal="center" vertical="center"/>
    </xf>
    <xf numFmtId="41" fontId="25" fillId="0" borderId="24" xfId="1" applyFont="1" applyFill="1" applyBorder="1" applyAlignment="1">
      <alignment horizontal="center" vertical="center"/>
    </xf>
    <xf numFmtId="41" fontId="25" fillId="16" borderId="11" xfId="1" applyFont="1" applyFill="1" applyBorder="1" applyAlignment="1">
      <alignment horizontal="center" vertical="center" wrapText="1"/>
    </xf>
    <xf numFmtId="41" fontId="25" fillId="16" borderId="14" xfId="1" applyFont="1" applyFill="1" applyBorder="1" applyAlignment="1">
      <alignment horizontal="center" vertical="center"/>
    </xf>
    <xf numFmtId="41" fontId="25" fillId="16" borderId="8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906"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/>
              <a:t>'25</a:t>
            </a:r>
            <a:r>
              <a:rPr lang="ko-KR" altLang="en-US" b="1"/>
              <a:t>년 </a:t>
            </a:r>
            <a:r>
              <a:rPr lang="en-US" altLang="ko-KR" b="1"/>
              <a:t>avg Top</a:t>
            </a:r>
            <a:r>
              <a:rPr lang="en-US" altLang="ko-KR" b="1" baseline="0"/>
              <a:t> 10</a:t>
            </a:r>
            <a:endParaRPr lang="en-US" altLang="ko-K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미니게임_분석!$Q$1</c:f>
              <c:strCache>
                <c:ptCount val="1"/>
                <c:pt idx="0">
                  <c:v>'25년 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4B61-414F-92C6-58AB648CD81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61-414F-92C6-58AB648CD8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미니게임_분석!$P$2:$P$11</c:f>
              <c:strCache>
                <c:ptCount val="10"/>
                <c:pt idx="0">
                  <c:v>양근석</c:v>
                </c:pt>
                <c:pt idx="1">
                  <c:v>조문수</c:v>
                </c:pt>
                <c:pt idx="2">
                  <c:v>최은규</c:v>
                </c:pt>
                <c:pt idx="3">
                  <c:v>천재복</c:v>
                </c:pt>
                <c:pt idx="4">
                  <c:v>전병기</c:v>
                </c:pt>
                <c:pt idx="5">
                  <c:v>손하은</c:v>
                </c:pt>
                <c:pt idx="6">
                  <c:v>이수용</c:v>
                </c:pt>
                <c:pt idx="7">
                  <c:v>정동현</c:v>
                </c:pt>
                <c:pt idx="8">
                  <c:v>박용승</c:v>
                </c:pt>
                <c:pt idx="9">
                  <c:v>이유재</c:v>
                </c:pt>
              </c:strCache>
            </c:strRef>
          </c:cat>
          <c:val>
            <c:numRef>
              <c:f>미니게임_분석!$Q$2:$Q$11</c:f>
              <c:numCache>
                <c:formatCode>_-* #,##0.0_-;\-* #,##0.0_-;_-* "-"_-;_-@_-</c:formatCode>
                <c:ptCount val="10"/>
                <c:pt idx="0">
                  <c:v>203.16666666666666</c:v>
                </c:pt>
                <c:pt idx="1">
                  <c:v>182.56666666666666</c:v>
                </c:pt>
                <c:pt idx="2">
                  <c:v>168.07142857142858</c:v>
                </c:pt>
                <c:pt idx="3">
                  <c:v>161.66666666666666</c:v>
                </c:pt>
                <c:pt idx="4">
                  <c:v>161</c:v>
                </c:pt>
                <c:pt idx="5">
                  <c:v>160.33333333333334</c:v>
                </c:pt>
                <c:pt idx="6">
                  <c:v>160.14285714285714</c:v>
                </c:pt>
                <c:pt idx="7">
                  <c:v>159.83333333333334</c:v>
                </c:pt>
                <c:pt idx="8">
                  <c:v>159.62222222222223</c:v>
                </c:pt>
                <c:pt idx="9">
                  <c:v>159.23809523809524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4C-4243-9D34-4680AA57B6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75641535"/>
        <c:axId val="1575637375"/>
      </c:barChart>
      <c:catAx>
        <c:axId val="157564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5637375"/>
        <c:crosses val="autoZero"/>
        <c:auto val="1"/>
        <c:lblAlgn val="ctr"/>
        <c:lblOffset val="100"/>
        <c:noMultiLvlLbl val="0"/>
      </c:catAx>
      <c:valAx>
        <c:axId val="1575637375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564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44823</xdr:colOff>
      <xdr:row>12</xdr:row>
      <xdr:rowOff>201713</xdr:rowOff>
    </xdr:from>
    <xdr:to>
      <xdr:col>21</xdr:col>
      <xdr:colOff>302558</xdr:colOff>
      <xdr:row>27</xdr:row>
      <xdr:rowOff>179293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80"/>
  <sheetViews>
    <sheetView zoomScale="85" zoomScaleNormal="85" workbookViewId="0">
      <selection activeCell="N26" sqref="N26"/>
    </sheetView>
  </sheetViews>
  <sheetFormatPr defaultRowHeight="16.5"/>
  <cols>
    <col min="1" max="1" width="11.125" bestFit="1" customWidth="1"/>
    <col min="2" max="2" width="14.125" bestFit="1" customWidth="1"/>
    <col min="3" max="3" width="14.625" bestFit="1" customWidth="1"/>
    <col min="4" max="4" width="10.25" bestFit="1" customWidth="1"/>
    <col min="5" max="5" width="11" customWidth="1"/>
    <col min="6" max="6" width="10.875" bestFit="1" customWidth="1"/>
    <col min="8" max="8" width="11.5" bestFit="1" customWidth="1"/>
  </cols>
  <sheetData>
    <row r="1" spans="1:27">
      <c r="E1" s="81"/>
      <c r="F1" s="81"/>
      <c r="G1" s="81"/>
      <c r="H1" s="81"/>
    </row>
    <row r="2" spans="1:27">
      <c r="A2" s="481" t="s">
        <v>511</v>
      </c>
      <c r="B2" s="481"/>
      <c r="C2" s="481"/>
      <c r="E2" s="482" t="s">
        <v>83</v>
      </c>
      <c r="F2" s="482"/>
      <c r="G2" s="482" t="s">
        <v>84</v>
      </c>
      <c r="H2" s="482"/>
      <c r="I2" s="481" t="s">
        <v>85</v>
      </c>
      <c r="J2" s="481"/>
      <c r="K2" s="481" t="s">
        <v>405</v>
      </c>
      <c r="L2" s="481"/>
      <c r="M2" s="481" t="s">
        <v>406</v>
      </c>
      <c r="N2" s="481"/>
      <c r="O2" s="481" t="s">
        <v>407</v>
      </c>
      <c r="P2" s="481"/>
      <c r="Q2" s="481" t="s">
        <v>86</v>
      </c>
      <c r="R2" s="481"/>
      <c r="T2" s="483" t="s">
        <v>87</v>
      </c>
      <c r="U2" s="483"/>
      <c r="V2" s="483" t="s">
        <v>88</v>
      </c>
      <c r="W2" s="483"/>
      <c r="X2" s="477" t="s">
        <v>89</v>
      </c>
      <c r="Y2" s="477"/>
      <c r="Z2" s="477" t="s">
        <v>232</v>
      </c>
      <c r="AA2" s="478"/>
    </row>
    <row r="3" spans="1:27">
      <c r="A3" s="82" t="s">
        <v>90</v>
      </c>
      <c r="B3" s="426">
        <v>45876</v>
      </c>
      <c r="C3" s="82" t="s">
        <v>464</v>
      </c>
      <c r="E3" s="83" t="s">
        <v>14</v>
      </c>
      <c r="F3" s="86">
        <v>5000</v>
      </c>
      <c r="G3" s="83" t="s">
        <v>37</v>
      </c>
      <c r="H3" s="83">
        <v>2500</v>
      </c>
      <c r="I3" s="84" t="s">
        <v>529</v>
      </c>
      <c r="J3" s="85">
        <v>1000</v>
      </c>
      <c r="K3" s="84" t="s">
        <v>532</v>
      </c>
      <c r="L3" s="85">
        <v>500</v>
      </c>
      <c r="M3" s="84"/>
      <c r="N3" s="85"/>
      <c r="O3" s="84"/>
      <c r="P3" s="85"/>
      <c r="Q3" s="84"/>
      <c r="R3" s="85"/>
      <c r="T3" s="415" t="s">
        <v>534</v>
      </c>
      <c r="U3" s="86">
        <v>2500</v>
      </c>
      <c r="V3" s="415"/>
      <c r="W3" s="86"/>
      <c r="X3" s="415"/>
      <c r="Y3" s="86"/>
      <c r="Z3" s="86"/>
      <c r="AA3" s="86"/>
    </row>
    <row r="4" spans="1:27">
      <c r="A4" s="239" t="s">
        <v>8</v>
      </c>
      <c r="B4" s="99">
        <f>248702+2500-50000+15000-35650+15000+15000+1500-23000+15000-42857+10000+10000</f>
        <v>181195</v>
      </c>
      <c r="C4" s="99">
        <f>248702+2500-50000+15000-35650+15000+15000+1500-23000+15000-42857+10000+10000</f>
        <v>181195</v>
      </c>
      <c r="D4" s="100"/>
      <c r="E4" s="83" t="s">
        <v>11</v>
      </c>
      <c r="F4" s="86">
        <v>5000</v>
      </c>
      <c r="G4" s="83" t="s">
        <v>528</v>
      </c>
      <c r="H4" s="83">
        <v>2500</v>
      </c>
      <c r="I4" s="84" t="s">
        <v>530</v>
      </c>
      <c r="J4" s="85">
        <v>1000</v>
      </c>
      <c r="K4" s="84" t="s">
        <v>525</v>
      </c>
      <c r="L4" s="85">
        <v>500</v>
      </c>
      <c r="M4" s="84"/>
      <c r="N4" s="85"/>
      <c r="O4" s="84"/>
      <c r="P4" s="85"/>
      <c r="Q4" s="84"/>
      <c r="R4" s="85"/>
      <c r="T4" s="86" t="s">
        <v>535</v>
      </c>
      <c r="U4" s="86">
        <v>2500</v>
      </c>
      <c r="V4" s="86"/>
      <c r="W4" s="86"/>
      <c r="X4" s="86"/>
      <c r="Y4" s="86"/>
      <c r="Z4" s="86"/>
      <c r="AA4" s="86"/>
    </row>
    <row r="5" spans="1:27">
      <c r="A5" s="89" t="s">
        <v>92</v>
      </c>
      <c r="B5" s="99">
        <f>117239-23000-30000</f>
        <v>64239</v>
      </c>
      <c r="C5" s="99">
        <f>117239-23000-30000</f>
        <v>64239</v>
      </c>
      <c r="D5" s="100"/>
      <c r="E5" s="83" t="s">
        <v>527</v>
      </c>
      <c r="F5" s="86">
        <v>5000</v>
      </c>
      <c r="G5" s="83"/>
      <c r="H5" s="83"/>
      <c r="I5" s="84" t="s">
        <v>531</v>
      </c>
      <c r="J5" s="85">
        <v>1000</v>
      </c>
      <c r="K5" s="84" t="s">
        <v>533</v>
      </c>
      <c r="L5" s="85">
        <v>500</v>
      </c>
      <c r="M5" s="84"/>
      <c r="N5" s="85"/>
      <c r="O5" s="84"/>
      <c r="P5" s="85"/>
      <c r="Q5" s="84"/>
      <c r="R5" s="85"/>
      <c r="T5" s="415"/>
      <c r="U5" s="86"/>
      <c r="V5" s="84"/>
      <c r="W5" s="84"/>
      <c r="X5" s="84"/>
      <c r="Y5" s="86"/>
      <c r="Z5" s="84"/>
      <c r="AA5" s="86"/>
    </row>
    <row r="6" spans="1:27">
      <c r="A6" s="89" t="s">
        <v>94</v>
      </c>
      <c r="B6" s="99">
        <f>75114+7500+10000-35650+7500+5000-10000-23000+5000-42857+1000+10000+500+2500+2000+2500</f>
        <v>17107</v>
      </c>
      <c r="C6" s="99">
        <f>75114+7500+10000-35650+7500+5000-10000-23000+5000-42857+1000+10000+500+2500+2000</f>
        <v>14607</v>
      </c>
      <c r="D6" s="100"/>
      <c r="E6" s="83"/>
      <c r="F6" s="86"/>
      <c r="G6" s="83"/>
      <c r="H6" s="83"/>
      <c r="I6" s="84"/>
      <c r="J6" s="85"/>
      <c r="K6" s="84"/>
      <c r="L6" s="85"/>
      <c r="M6" s="84"/>
      <c r="N6" s="85"/>
      <c r="O6" s="84"/>
      <c r="P6" s="85"/>
      <c r="Q6" s="90"/>
      <c r="R6" s="85"/>
      <c r="T6" s="84"/>
      <c r="U6" s="86"/>
      <c r="V6" s="84"/>
      <c r="W6" s="84"/>
      <c r="X6" s="416"/>
      <c r="Y6" s="416"/>
      <c r="Z6" s="416"/>
      <c r="AA6" s="91"/>
    </row>
    <row r="7" spans="1:27">
      <c r="A7" s="89" t="s">
        <v>95</v>
      </c>
      <c r="B7" s="99">
        <v>0</v>
      </c>
      <c r="C7" s="99">
        <v>0</v>
      </c>
      <c r="D7" s="100"/>
      <c r="E7" s="83"/>
      <c r="F7" s="86"/>
      <c r="G7" s="84"/>
      <c r="H7" s="83"/>
      <c r="I7" s="84"/>
      <c r="J7" s="85"/>
      <c r="K7" s="84"/>
      <c r="L7" s="85"/>
      <c r="M7" s="84"/>
      <c r="N7" s="85"/>
      <c r="O7" s="84"/>
      <c r="P7" s="85"/>
      <c r="Q7" s="84"/>
      <c r="R7" s="85"/>
      <c r="T7" s="489" t="s">
        <v>96</v>
      </c>
      <c r="U7" s="490"/>
      <c r="V7" s="490"/>
      <c r="W7" s="490"/>
      <c r="X7" s="491"/>
      <c r="Y7" s="491"/>
      <c r="Z7" s="491"/>
      <c r="AA7" s="491"/>
    </row>
    <row r="8" spans="1:27">
      <c r="A8" s="89" t="s">
        <v>91</v>
      </c>
      <c r="B8" s="99">
        <f>62202+5000+5000-35650-23000+7500+2000+500</f>
        <v>23552</v>
      </c>
      <c r="C8" s="99">
        <f>62202+5000+5000-35650-23000+7500+2000</f>
        <v>23052</v>
      </c>
      <c r="D8" s="100"/>
      <c r="E8" s="84"/>
      <c r="F8" s="86"/>
      <c r="G8" s="84"/>
      <c r="H8" s="83"/>
      <c r="I8" s="84"/>
      <c r="J8" s="85"/>
      <c r="K8" s="84"/>
      <c r="L8" s="85"/>
      <c r="M8" s="84"/>
      <c r="N8" s="85"/>
      <c r="O8" s="84"/>
      <c r="P8" s="85"/>
      <c r="Q8" s="84"/>
      <c r="R8" s="85"/>
      <c r="T8" s="88"/>
      <c r="U8" s="86"/>
      <c r="V8" s="88"/>
      <c r="W8" s="86"/>
      <c r="X8" s="88"/>
      <c r="Y8" s="86"/>
      <c r="Z8" s="88"/>
      <c r="AA8" s="86"/>
    </row>
    <row r="9" spans="1:27">
      <c r="A9" s="89" t="s">
        <v>98</v>
      </c>
      <c r="B9" s="99">
        <f>126819+5000-35650+5000+5000-23000+1000-42858-30000+5000+3000+500+10000</f>
        <v>29811</v>
      </c>
      <c r="C9" s="99">
        <f>126819+5000-35650+5000+5000-23000+1000-42858-30000+5000+3000+500+10000</f>
        <v>29811</v>
      </c>
      <c r="D9" s="100"/>
      <c r="E9" s="84"/>
      <c r="F9" s="86"/>
      <c r="G9" s="84"/>
      <c r="H9" s="86"/>
      <c r="I9" s="84"/>
      <c r="J9" s="85"/>
      <c r="K9" s="84"/>
      <c r="L9" s="85"/>
      <c r="M9" s="84"/>
      <c r="N9" s="85"/>
      <c r="O9" s="84"/>
      <c r="P9" s="85"/>
      <c r="Q9" s="84"/>
      <c r="R9" s="85"/>
      <c r="T9" s="88"/>
      <c r="U9" s="86"/>
      <c r="V9" s="84"/>
      <c r="W9" s="86"/>
      <c r="X9" s="88"/>
      <c r="Y9" s="86"/>
      <c r="Z9" s="84"/>
      <c r="AA9" s="86"/>
    </row>
    <row r="10" spans="1:27">
      <c r="A10" s="89" t="s">
        <v>100</v>
      </c>
      <c r="B10" s="99">
        <f>164200+5000+5000+2500+5000+1000-23000+2000-30000+2500+1000-82000+7500+2000+1500+2000+5000</f>
        <v>71200</v>
      </c>
      <c r="C10" s="99">
        <f>164200+5000+5000+2500+5000+1000-23000+2000-30000+2500+1000-82000+7500+2000+1500+2000</f>
        <v>66200</v>
      </c>
      <c r="D10" s="100"/>
      <c r="E10" s="84"/>
      <c r="F10" s="86"/>
      <c r="G10" s="84"/>
      <c r="H10" s="86"/>
      <c r="I10" s="84"/>
      <c r="J10" s="85"/>
      <c r="K10" s="84"/>
      <c r="L10" s="85"/>
      <c r="M10" s="84"/>
      <c r="N10" s="85"/>
      <c r="O10" s="84"/>
      <c r="P10" s="85"/>
      <c r="Q10" s="84"/>
      <c r="R10" s="85"/>
      <c r="T10" s="84"/>
      <c r="U10" s="86"/>
      <c r="V10" s="84"/>
      <c r="W10" s="86"/>
      <c r="X10" s="84"/>
      <c r="Y10" s="86"/>
      <c r="Z10" s="84"/>
      <c r="AA10" s="84"/>
    </row>
    <row r="11" spans="1:27">
      <c r="A11" s="89" t="s">
        <v>93</v>
      </c>
      <c r="B11" s="99">
        <f>24025+500-23000+2000-42857+5000+500</f>
        <v>-33832</v>
      </c>
      <c r="C11" s="99">
        <f>24025+500-23000+2000-42857+5000+500</f>
        <v>-33832</v>
      </c>
      <c r="D11" s="100"/>
      <c r="K11" s="92"/>
      <c r="T11" s="93"/>
      <c r="U11" s="93"/>
      <c r="V11" s="81"/>
      <c r="W11" s="81"/>
      <c r="Z11" t="s">
        <v>299</v>
      </c>
    </row>
    <row r="12" spans="1:27">
      <c r="A12" s="89" t="s">
        <v>16</v>
      </c>
      <c r="B12" s="99">
        <f>116138-23000+10000</f>
        <v>103138</v>
      </c>
      <c r="C12" s="99">
        <f>116138-23000+10000</f>
        <v>103138</v>
      </c>
      <c r="D12" s="100"/>
      <c r="K12" s="92"/>
      <c r="T12" s="484" t="s">
        <v>101</v>
      </c>
      <c r="U12" s="484"/>
      <c r="V12" s="81"/>
      <c r="W12" s="81"/>
    </row>
    <row r="13" spans="1:27">
      <c r="A13" s="89" t="s">
        <v>23</v>
      </c>
      <c r="B13" s="99">
        <f>162000-70800-23000</f>
        <v>68200</v>
      </c>
      <c r="C13" s="99">
        <f>162000-70800-23000</f>
        <v>68200</v>
      </c>
      <c r="D13" s="100"/>
      <c r="E13" s="82" t="s">
        <v>102</v>
      </c>
      <c r="F13" s="94">
        <f>SUM(F14:F20)</f>
        <v>300000</v>
      </c>
      <c r="H13" s="492" t="s">
        <v>217</v>
      </c>
      <c r="I13" s="494">
        <v>2025</v>
      </c>
      <c r="J13" s="495"/>
      <c r="K13" s="496"/>
      <c r="T13" s="84"/>
      <c r="U13" s="95"/>
      <c r="V13" s="81"/>
      <c r="W13" s="81"/>
    </row>
    <row r="14" spans="1:27">
      <c r="A14" s="89" t="s">
        <v>20</v>
      </c>
      <c r="B14" s="99">
        <f>77000-23000+25000</f>
        <v>79000</v>
      </c>
      <c r="C14" s="99">
        <f>77000-23000+25000</f>
        <v>79000</v>
      </c>
      <c r="D14" s="100"/>
      <c r="E14" s="102" t="s">
        <v>436</v>
      </c>
      <c r="F14" s="96">
        <v>42857</v>
      </c>
      <c r="H14" s="493"/>
      <c r="I14" s="307" t="s">
        <v>218</v>
      </c>
      <c r="J14" s="307" t="s">
        <v>219</v>
      </c>
      <c r="K14" s="88" t="s">
        <v>311</v>
      </c>
      <c r="T14" s="84"/>
      <c r="U14" s="95"/>
      <c r="V14" s="81"/>
      <c r="W14" s="81"/>
    </row>
    <row r="15" spans="1:27">
      <c r="A15" s="89" t="s">
        <v>32</v>
      </c>
      <c r="B15" s="99">
        <f>112589-35650-23000</f>
        <v>53939</v>
      </c>
      <c r="C15" s="99">
        <f>112589-35650-23000</f>
        <v>53939</v>
      </c>
      <c r="D15" s="100"/>
      <c r="E15" s="102" t="s">
        <v>437</v>
      </c>
      <c r="F15" s="96">
        <v>42857</v>
      </c>
      <c r="H15" s="308" t="s">
        <v>196</v>
      </c>
      <c r="I15" s="281"/>
      <c r="J15" s="309"/>
      <c r="K15" s="310"/>
      <c r="T15" s="84"/>
      <c r="U15" s="95"/>
      <c r="V15" s="81"/>
      <c r="W15" s="81"/>
      <c r="Z15" t="s">
        <v>374</v>
      </c>
    </row>
    <row r="16" spans="1:27">
      <c r="A16" s="89" t="s">
        <v>24</v>
      </c>
      <c r="B16" s="99">
        <f>43650-23000</f>
        <v>20650</v>
      </c>
      <c r="C16" s="99">
        <f>43650-23000</f>
        <v>20650</v>
      </c>
      <c r="D16" s="100"/>
      <c r="E16" s="102" t="s">
        <v>438</v>
      </c>
      <c r="F16" s="96">
        <v>42857</v>
      </c>
      <c r="H16" s="308" t="s">
        <v>197</v>
      </c>
      <c r="I16" s="281"/>
      <c r="J16" s="309"/>
      <c r="K16" s="310"/>
      <c r="T16" s="84"/>
      <c r="U16" s="95"/>
      <c r="V16" s="81"/>
      <c r="W16" s="81"/>
    </row>
    <row r="17" spans="1:36">
      <c r="A17" s="89" t="s">
        <v>38</v>
      </c>
      <c r="B17" s="99">
        <f>112000-23000+7000+2000+1000+1500</f>
        <v>100500</v>
      </c>
      <c r="C17" s="99">
        <f>112000-23000+7000+2000+1000+1500</f>
        <v>100500</v>
      </c>
      <c r="D17" s="100"/>
      <c r="E17" s="102" t="s">
        <v>439</v>
      </c>
      <c r="F17" s="96">
        <v>42858</v>
      </c>
      <c r="H17" s="308" t="s">
        <v>198</v>
      </c>
      <c r="I17" s="281"/>
      <c r="J17" s="282"/>
      <c r="K17" s="310"/>
      <c r="T17" t="s">
        <v>402</v>
      </c>
      <c r="V17" s="81"/>
      <c r="W17" s="81"/>
      <c r="AC17" t="s">
        <v>403</v>
      </c>
    </row>
    <row r="18" spans="1:36">
      <c r="A18" s="89" t="s">
        <v>13</v>
      </c>
      <c r="B18" s="99">
        <f>5000-35650+500+30000+500+7000+1500+3000+10000+1000+500</f>
        <v>23350</v>
      </c>
      <c r="C18" s="99">
        <f>5000-35650+500+30000+500+7000+1500+3000+10000+1000</f>
        <v>22850</v>
      </c>
      <c r="D18" s="100"/>
      <c r="E18" s="102" t="s">
        <v>440</v>
      </c>
      <c r="F18" s="96">
        <v>42857</v>
      </c>
      <c r="H18" s="308" t="s">
        <v>199</v>
      </c>
      <c r="I18" s="281"/>
      <c r="J18" s="282"/>
      <c r="K18" s="310"/>
      <c r="T18" s="400" t="s">
        <v>376</v>
      </c>
      <c r="U18" s="401" t="s">
        <v>377</v>
      </c>
      <c r="V18" s="401" t="s">
        <v>378</v>
      </c>
      <c r="W18" s="401" t="s">
        <v>379</v>
      </c>
      <c r="X18" s="401" t="s">
        <v>380</v>
      </c>
      <c r="Y18" s="401" t="s">
        <v>381</v>
      </c>
      <c r="Z18" s="401" t="s">
        <v>382</v>
      </c>
      <c r="AA18" s="401" t="s">
        <v>383</v>
      </c>
      <c r="AC18" s="400" t="s">
        <v>376</v>
      </c>
      <c r="AD18" s="401" t="s">
        <v>377</v>
      </c>
      <c r="AE18" s="401" t="s">
        <v>378</v>
      </c>
      <c r="AF18" s="401" t="s">
        <v>379</v>
      </c>
      <c r="AG18" s="401" t="s">
        <v>380</v>
      </c>
      <c r="AH18" s="401" t="s">
        <v>381</v>
      </c>
      <c r="AI18" s="401" t="s">
        <v>382</v>
      </c>
      <c r="AJ18" s="401" t="s">
        <v>383</v>
      </c>
    </row>
    <row r="19" spans="1:36">
      <c r="A19" s="89" t="s">
        <v>40</v>
      </c>
      <c r="B19" s="99">
        <f>113238-23000</f>
        <v>90238</v>
      </c>
      <c r="C19" s="99">
        <f>113238-23000</f>
        <v>90238</v>
      </c>
      <c r="D19" s="100"/>
      <c r="E19" s="102" t="s">
        <v>441</v>
      </c>
      <c r="F19" s="96">
        <v>42857</v>
      </c>
      <c r="H19" s="308" t="s">
        <v>303</v>
      </c>
      <c r="I19" s="281"/>
      <c r="J19" s="282"/>
      <c r="K19" s="310"/>
      <c r="T19" s="486">
        <v>6</v>
      </c>
      <c r="U19" s="402">
        <v>10000</v>
      </c>
      <c r="V19" s="402">
        <v>5000</v>
      </c>
      <c r="W19" s="403"/>
      <c r="X19" s="403"/>
      <c r="Y19" s="403"/>
      <c r="Z19" s="403"/>
      <c r="AA19" s="403"/>
      <c r="AC19" s="486">
        <v>6</v>
      </c>
      <c r="AD19" s="402">
        <f>U19/2</f>
        <v>5000</v>
      </c>
      <c r="AE19" s="402">
        <f t="shared" ref="AE19:AJ19" si="0">V19/2</f>
        <v>2500</v>
      </c>
      <c r="AF19" s="402">
        <f t="shared" si="0"/>
        <v>0</v>
      </c>
      <c r="AG19" s="402">
        <f t="shared" si="0"/>
        <v>0</v>
      </c>
      <c r="AH19" s="402">
        <f t="shared" si="0"/>
        <v>0</v>
      </c>
      <c r="AI19" s="402">
        <f t="shared" si="0"/>
        <v>0</v>
      </c>
      <c r="AJ19" s="402">
        <f t="shared" si="0"/>
        <v>0</v>
      </c>
    </row>
    <row r="20" spans="1:36">
      <c r="A20" s="89" t="s">
        <v>12</v>
      </c>
      <c r="B20" s="99">
        <f>133403-35650+2500+5000+1000-60000-23000+5000-42857+1000+5000+3000+1000</f>
        <v>-4604</v>
      </c>
      <c r="C20" s="99">
        <f>133403-35650+2500+5000+1000-60000-23000+5000-42857+1000+5000+3000+1000</f>
        <v>-4604</v>
      </c>
      <c r="D20" s="100"/>
      <c r="E20" s="102" t="s">
        <v>442</v>
      </c>
      <c r="F20" s="96">
        <v>42857</v>
      </c>
      <c r="H20" s="280" t="s">
        <v>304</v>
      </c>
      <c r="I20" s="281"/>
      <c r="J20" s="282"/>
      <c r="K20" s="310"/>
      <c r="T20" s="487"/>
      <c r="U20" s="402">
        <v>10000</v>
      </c>
      <c r="V20" s="402">
        <v>5000</v>
      </c>
      <c r="W20" s="403"/>
      <c r="X20" s="403"/>
      <c r="Y20" s="403"/>
      <c r="Z20" s="403"/>
      <c r="AA20" s="403"/>
      <c r="AC20" s="487"/>
      <c r="AD20" s="402">
        <f t="shared" ref="AD20:AD33" si="1">U20/2</f>
        <v>5000</v>
      </c>
      <c r="AE20" s="402">
        <f t="shared" ref="AE20:AE33" si="2">V20/2</f>
        <v>2500</v>
      </c>
      <c r="AF20" s="402">
        <f t="shared" ref="AF20:AF33" si="3">W20/2</f>
        <v>0</v>
      </c>
      <c r="AG20" s="402">
        <f t="shared" ref="AG20:AG33" si="4">X20/2</f>
        <v>0</v>
      </c>
      <c r="AH20" s="402">
        <f t="shared" ref="AH20:AH33" si="5">Y20/2</f>
        <v>0</v>
      </c>
      <c r="AI20" s="402">
        <f t="shared" ref="AI20:AI33" si="6">Z20/2</f>
        <v>0</v>
      </c>
      <c r="AJ20" s="402">
        <f t="shared" ref="AJ20:AJ33" si="7">AA20/2</f>
        <v>0</v>
      </c>
    </row>
    <row r="21" spans="1:36">
      <c r="A21" s="89" t="s">
        <v>10</v>
      </c>
      <c r="B21" s="99">
        <f>7364+10000-35650+5000+10000+2500+1000-42857+500+1000+1000+1000+2500+5000</f>
        <v>-31643</v>
      </c>
      <c r="C21" s="99">
        <f>7364+10000-35650+5000+10000+2500+1000-42857+500+1000+1000+1000+2500+5000</f>
        <v>-31643</v>
      </c>
      <c r="D21" s="100"/>
      <c r="E21" s="414"/>
      <c r="F21" s="96"/>
      <c r="H21" s="311"/>
      <c r="I21" s="311"/>
      <c r="J21" s="311"/>
      <c r="K21" s="312"/>
      <c r="T21" s="488"/>
      <c r="U21" s="402">
        <v>10000</v>
      </c>
      <c r="V21" s="402">
        <v>5000</v>
      </c>
      <c r="W21" s="403"/>
      <c r="X21" s="403"/>
      <c r="Y21" s="403"/>
      <c r="Z21" s="403"/>
      <c r="AA21" s="402">
        <v>45000</v>
      </c>
      <c r="AC21" s="488"/>
      <c r="AD21" s="402">
        <f t="shared" si="1"/>
        <v>5000</v>
      </c>
      <c r="AE21" s="402">
        <f t="shared" si="2"/>
        <v>2500</v>
      </c>
      <c r="AF21" s="402">
        <f t="shared" si="3"/>
        <v>0</v>
      </c>
      <c r="AG21" s="402">
        <f t="shared" si="4"/>
        <v>0</v>
      </c>
      <c r="AH21" s="402">
        <f t="shared" si="5"/>
        <v>0</v>
      </c>
      <c r="AI21" s="402">
        <f t="shared" si="6"/>
        <v>0</v>
      </c>
      <c r="AJ21" s="402">
        <f t="shared" si="7"/>
        <v>22500</v>
      </c>
    </row>
    <row r="22" spans="1:36">
      <c r="A22" s="89" t="s">
        <v>39</v>
      </c>
      <c r="B22" s="99">
        <f>44289-23000</f>
        <v>21289</v>
      </c>
      <c r="C22" s="99">
        <f>44289-23000</f>
        <v>21289</v>
      </c>
      <c r="D22" s="100"/>
      <c r="E22" s="414"/>
      <c r="F22" s="96"/>
      <c r="H22" s="280" t="s">
        <v>310</v>
      </c>
      <c r="I22" s="45"/>
      <c r="J22" s="45"/>
      <c r="K22" s="310"/>
      <c r="T22" s="486">
        <v>9</v>
      </c>
      <c r="U22" s="402">
        <v>10000</v>
      </c>
      <c r="V22" s="402">
        <v>5000</v>
      </c>
      <c r="W22" s="402">
        <v>1000</v>
      </c>
      <c r="X22" s="403"/>
      <c r="Y22" s="403"/>
      <c r="Z22" s="403"/>
      <c r="AA22" s="403"/>
      <c r="AC22" s="486">
        <v>9</v>
      </c>
      <c r="AD22" s="402">
        <f t="shared" si="1"/>
        <v>5000</v>
      </c>
      <c r="AE22" s="402">
        <f t="shared" si="2"/>
        <v>2500</v>
      </c>
      <c r="AF22" s="402">
        <f t="shared" si="3"/>
        <v>500</v>
      </c>
      <c r="AG22" s="402">
        <f t="shared" si="4"/>
        <v>0</v>
      </c>
      <c r="AH22" s="402">
        <f t="shared" si="5"/>
        <v>0</v>
      </c>
      <c r="AI22" s="402">
        <f t="shared" si="6"/>
        <v>0</v>
      </c>
      <c r="AJ22" s="402">
        <f t="shared" si="7"/>
        <v>0</v>
      </c>
    </row>
    <row r="23" spans="1:36">
      <c r="A23" s="89" t="s">
        <v>14</v>
      </c>
      <c r="B23" s="99">
        <f>48589+2000-23000+10000+2500+2500+10000+1000+5000+5000</f>
        <v>63589</v>
      </c>
      <c r="C23" s="99">
        <f>48589+2000-23000+10000+2500+2500+10000+1000+5000</f>
        <v>58589</v>
      </c>
      <c r="D23" s="100"/>
      <c r="E23" s="414"/>
      <c r="F23" s="96"/>
      <c r="T23" s="487"/>
      <c r="U23" s="402">
        <v>10000</v>
      </c>
      <c r="V23" s="402">
        <v>5000</v>
      </c>
      <c r="W23" s="402">
        <v>1000</v>
      </c>
      <c r="X23" s="403"/>
      <c r="Y23" s="403"/>
      <c r="Z23" s="403"/>
      <c r="AA23" s="403"/>
      <c r="AC23" s="487"/>
      <c r="AD23" s="402">
        <f t="shared" si="1"/>
        <v>5000</v>
      </c>
      <c r="AE23" s="402">
        <f t="shared" si="2"/>
        <v>2500</v>
      </c>
      <c r="AF23" s="402">
        <f t="shared" si="3"/>
        <v>500</v>
      </c>
      <c r="AG23" s="402">
        <f t="shared" si="4"/>
        <v>0</v>
      </c>
      <c r="AH23" s="402">
        <f t="shared" si="5"/>
        <v>0</v>
      </c>
      <c r="AI23" s="402">
        <f t="shared" si="6"/>
        <v>0</v>
      </c>
      <c r="AJ23" s="402">
        <f t="shared" si="7"/>
        <v>0</v>
      </c>
    </row>
    <row r="24" spans="1:36">
      <c r="A24" s="89" t="s">
        <v>36</v>
      </c>
      <c r="B24" s="99">
        <v>20589</v>
      </c>
      <c r="C24" s="99">
        <v>20589</v>
      </c>
      <c r="D24" s="100"/>
      <c r="E24" s="98"/>
      <c r="T24" s="488"/>
      <c r="U24" s="402">
        <v>10000</v>
      </c>
      <c r="V24" s="402">
        <v>5000</v>
      </c>
      <c r="W24" s="402">
        <v>1000</v>
      </c>
      <c r="X24" s="403"/>
      <c r="Y24" s="403"/>
      <c r="Z24" s="403"/>
      <c r="AA24" s="402">
        <v>48000</v>
      </c>
      <c r="AC24" s="488"/>
      <c r="AD24" s="402">
        <f t="shared" si="1"/>
        <v>5000</v>
      </c>
      <c r="AE24" s="402">
        <f t="shared" si="2"/>
        <v>2500</v>
      </c>
      <c r="AF24" s="402">
        <f t="shared" si="3"/>
        <v>500</v>
      </c>
      <c r="AG24" s="402">
        <f t="shared" si="4"/>
        <v>0</v>
      </c>
      <c r="AH24" s="402">
        <f t="shared" si="5"/>
        <v>0</v>
      </c>
      <c r="AI24" s="402">
        <f t="shared" si="6"/>
        <v>0</v>
      </c>
      <c r="AJ24" s="402">
        <f t="shared" si="7"/>
        <v>24000</v>
      </c>
    </row>
    <row r="25" spans="1:36">
      <c r="A25" s="89" t="s">
        <v>18</v>
      </c>
      <c r="B25" s="99">
        <f>36700-23000</f>
        <v>13700</v>
      </c>
      <c r="C25" s="99">
        <f>36700-23000</f>
        <v>13700</v>
      </c>
      <c r="D25" s="100"/>
      <c r="E25" s="81"/>
      <c r="F25" s="81"/>
      <c r="G25" s="81"/>
      <c r="H25" s="81"/>
      <c r="T25" s="486">
        <v>12</v>
      </c>
      <c r="U25" s="402">
        <v>10000</v>
      </c>
      <c r="V25" s="402">
        <v>5000</v>
      </c>
      <c r="W25" s="402">
        <v>2000</v>
      </c>
      <c r="X25" s="402">
        <v>1000</v>
      </c>
      <c r="Y25" s="403"/>
      <c r="Z25" s="403"/>
      <c r="AA25" s="403"/>
      <c r="AC25" s="486">
        <v>12</v>
      </c>
      <c r="AD25" s="402">
        <f t="shared" si="1"/>
        <v>5000</v>
      </c>
      <c r="AE25" s="402">
        <f t="shared" si="2"/>
        <v>2500</v>
      </c>
      <c r="AF25" s="402">
        <f t="shared" si="3"/>
        <v>1000</v>
      </c>
      <c r="AG25" s="402">
        <f t="shared" si="4"/>
        <v>500</v>
      </c>
      <c r="AH25" s="402">
        <f t="shared" si="5"/>
        <v>0</v>
      </c>
      <c r="AI25" s="402">
        <f t="shared" si="6"/>
        <v>0</v>
      </c>
      <c r="AJ25" s="402">
        <f t="shared" si="7"/>
        <v>0</v>
      </c>
    </row>
    <row r="26" spans="1:36">
      <c r="A26" s="89" t="s">
        <v>28</v>
      </c>
      <c r="B26" s="99">
        <v>20000</v>
      </c>
      <c r="C26" s="99">
        <v>20000</v>
      </c>
      <c r="D26" s="100"/>
      <c r="E26" s="421"/>
      <c r="T26" s="487"/>
      <c r="U26" s="402">
        <v>10000</v>
      </c>
      <c r="V26" s="402">
        <v>5000</v>
      </c>
      <c r="W26" s="402">
        <v>2000</v>
      </c>
      <c r="X26" s="402">
        <v>1000</v>
      </c>
      <c r="Y26" s="403"/>
      <c r="Z26" s="403"/>
      <c r="AA26" s="403"/>
      <c r="AC26" s="487"/>
      <c r="AD26" s="402">
        <f t="shared" si="1"/>
        <v>5000</v>
      </c>
      <c r="AE26" s="402">
        <f t="shared" si="2"/>
        <v>2500</v>
      </c>
      <c r="AF26" s="402">
        <f t="shared" si="3"/>
        <v>1000</v>
      </c>
      <c r="AG26" s="402">
        <f t="shared" si="4"/>
        <v>500</v>
      </c>
      <c r="AH26" s="402">
        <f t="shared" si="5"/>
        <v>0</v>
      </c>
      <c r="AI26" s="402">
        <f t="shared" si="6"/>
        <v>0</v>
      </c>
      <c r="AJ26" s="402">
        <f t="shared" si="7"/>
        <v>0</v>
      </c>
    </row>
    <row r="27" spans="1:36">
      <c r="A27" s="89" t="s">
        <v>41</v>
      </c>
      <c r="B27" s="99">
        <v>-97813</v>
      </c>
      <c r="C27" s="99">
        <v>-97813</v>
      </c>
      <c r="D27" s="100"/>
      <c r="T27" s="488"/>
      <c r="U27" s="402">
        <v>10000</v>
      </c>
      <c r="V27" s="402">
        <v>5000</v>
      </c>
      <c r="W27" s="402">
        <v>2000</v>
      </c>
      <c r="X27" s="402">
        <v>1000</v>
      </c>
      <c r="Y27" s="403"/>
      <c r="Z27" s="403"/>
      <c r="AA27" s="402">
        <v>54000</v>
      </c>
      <c r="AC27" s="488"/>
      <c r="AD27" s="402">
        <f t="shared" si="1"/>
        <v>5000</v>
      </c>
      <c r="AE27" s="402">
        <f t="shared" si="2"/>
        <v>2500</v>
      </c>
      <c r="AF27" s="402">
        <f t="shared" si="3"/>
        <v>1000</v>
      </c>
      <c r="AG27" s="402">
        <f t="shared" si="4"/>
        <v>500</v>
      </c>
      <c r="AH27" s="402">
        <f t="shared" si="5"/>
        <v>0</v>
      </c>
      <c r="AI27" s="402">
        <f t="shared" si="6"/>
        <v>0</v>
      </c>
      <c r="AJ27" s="402">
        <f t="shared" si="7"/>
        <v>27000</v>
      </c>
    </row>
    <row r="28" spans="1:36">
      <c r="A28" s="89" t="s">
        <v>21</v>
      </c>
      <c r="B28" s="99">
        <v>-12888</v>
      </c>
      <c r="C28" s="99">
        <v>-12888</v>
      </c>
      <c r="D28" s="100"/>
      <c r="T28" s="486">
        <v>15</v>
      </c>
      <c r="U28" s="402">
        <v>10000</v>
      </c>
      <c r="V28" s="402">
        <v>5000</v>
      </c>
      <c r="W28" s="402">
        <v>3000</v>
      </c>
      <c r="X28" s="402">
        <v>2000</v>
      </c>
      <c r="Y28" s="402">
        <v>1000</v>
      </c>
      <c r="Z28" s="403"/>
      <c r="AA28" s="403"/>
      <c r="AC28" s="486">
        <v>15</v>
      </c>
      <c r="AD28" s="402">
        <f t="shared" si="1"/>
        <v>5000</v>
      </c>
      <c r="AE28" s="402">
        <f t="shared" si="2"/>
        <v>2500</v>
      </c>
      <c r="AF28" s="402">
        <f t="shared" si="3"/>
        <v>1500</v>
      </c>
      <c r="AG28" s="402">
        <f t="shared" si="4"/>
        <v>1000</v>
      </c>
      <c r="AH28" s="402">
        <f t="shared" si="5"/>
        <v>500</v>
      </c>
      <c r="AI28" s="402">
        <f t="shared" si="6"/>
        <v>0</v>
      </c>
      <c r="AJ28" s="402">
        <f t="shared" si="7"/>
        <v>0</v>
      </c>
    </row>
    <row r="29" spans="1:36">
      <c r="A29" s="89" t="s">
        <v>42</v>
      </c>
      <c r="B29" s="99">
        <f>1000+10000+2000+10000+500+5000+5000+2000+2500+1000</f>
        <v>39000</v>
      </c>
      <c r="C29" s="99">
        <f>1000+10000+2000+10000+500+5000+5000+2000+2500</f>
        <v>38000</v>
      </c>
      <c r="D29" s="100"/>
      <c r="T29" s="487"/>
      <c r="U29" s="402">
        <v>10000</v>
      </c>
      <c r="V29" s="402">
        <v>5000</v>
      </c>
      <c r="W29" s="402">
        <v>3000</v>
      </c>
      <c r="X29" s="402">
        <v>2000</v>
      </c>
      <c r="Y29" s="402">
        <v>1000</v>
      </c>
      <c r="Z29" s="403"/>
      <c r="AA29" s="403"/>
      <c r="AC29" s="487"/>
      <c r="AD29" s="402">
        <f t="shared" si="1"/>
        <v>5000</v>
      </c>
      <c r="AE29" s="402">
        <f t="shared" si="2"/>
        <v>2500</v>
      </c>
      <c r="AF29" s="402">
        <f t="shared" si="3"/>
        <v>1500</v>
      </c>
      <c r="AG29" s="402">
        <f t="shared" si="4"/>
        <v>1000</v>
      </c>
      <c r="AH29" s="402">
        <f t="shared" si="5"/>
        <v>500</v>
      </c>
      <c r="AI29" s="402">
        <f t="shared" si="6"/>
        <v>0</v>
      </c>
      <c r="AJ29" s="402">
        <f t="shared" si="7"/>
        <v>0</v>
      </c>
    </row>
    <row r="30" spans="1:36">
      <c r="A30" s="89" t="s">
        <v>282</v>
      </c>
      <c r="B30" s="99">
        <f>10000-35650+7500+1500+30000+5000+15000+5000+10000+1000</f>
        <v>49350</v>
      </c>
      <c r="C30" s="99">
        <f>10000-35650+7500+1500+30000+5000+15000+5000+10000</f>
        <v>48350</v>
      </c>
      <c r="D30" s="100"/>
      <c r="T30" s="488"/>
      <c r="U30" s="402">
        <v>10000</v>
      </c>
      <c r="V30" s="402">
        <v>5000</v>
      </c>
      <c r="W30" s="402">
        <v>3000</v>
      </c>
      <c r="X30" s="402">
        <v>2000</v>
      </c>
      <c r="Y30" s="402">
        <v>1000</v>
      </c>
      <c r="Z30" s="403"/>
      <c r="AA30" s="402">
        <v>63000</v>
      </c>
      <c r="AC30" s="488"/>
      <c r="AD30" s="402">
        <f t="shared" si="1"/>
        <v>5000</v>
      </c>
      <c r="AE30" s="402">
        <f t="shared" si="2"/>
        <v>2500</v>
      </c>
      <c r="AF30" s="402">
        <f t="shared" si="3"/>
        <v>1500</v>
      </c>
      <c r="AG30" s="402">
        <f t="shared" si="4"/>
        <v>1000</v>
      </c>
      <c r="AH30" s="402">
        <f t="shared" si="5"/>
        <v>500</v>
      </c>
      <c r="AI30" s="402">
        <f t="shared" si="6"/>
        <v>0</v>
      </c>
      <c r="AJ30" s="402">
        <f t="shared" si="7"/>
        <v>31500</v>
      </c>
    </row>
    <row r="31" spans="1:36">
      <c r="A31" s="89" t="s">
        <v>281</v>
      </c>
      <c r="B31" s="99">
        <f>5000-35650+500+30000+5000+2000+1500+3000+5000+10000+7500</f>
        <v>33850</v>
      </c>
      <c r="C31" s="99">
        <f>5000-35650+500+30000+5000+2000+1500+3000+5000+10000</f>
        <v>26350</v>
      </c>
      <c r="D31" s="100"/>
      <c r="T31" s="486">
        <v>18</v>
      </c>
      <c r="U31" s="402">
        <v>10000</v>
      </c>
      <c r="V31" s="402">
        <v>5000</v>
      </c>
      <c r="W31" s="402">
        <v>4000</v>
      </c>
      <c r="X31" s="402">
        <v>3000</v>
      </c>
      <c r="Y31" s="402">
        <v>2000</v>
      </c>
      <c r="Z31" s="402">
        <v>1000</v>
      </c>
      <c r="AA31" s="403"/>
      <c r="AC31" s="486">
        <v>18</v>
      </c>
      <c r="AD31" s="402">
        <f t="shared" si="1"/>
        <v>5000</v>
      </c>
      <c r="AE31" s="402">
        <f t="shared" si="2"/>
        <v>2500</v>
      </c>
      <c r="AF31" s="402">
        <f t="shared" si="3"/>
        <v>2000</v>
      </c>
      <c r="AG31" s="402">
        <f t="shared" si="4"/>
        <v>1500</v>
      </c>
      <c r="AH31" s="402">
        <f t="shared" si="5"/>
        <v>1000</v>
      </c>
      <c r="AI31" s="402">
        <f t="shared" si="6"/>
        <v>500</v>
      </c>
      <c r="AJ31" s="402">
        <f t="shared" si="7"/>
        <v>0</v>
      </c>
    </row>
    <row r="32" spans="1:36">
      <c r="A32" s="89" t="s">
        <v>241</v>
      </c>
      <c r="B32" s="99">
        <f>90000+7500+2500-23000+1000+1000+1000</f>
        <v>80000</v>
      </c>
      <c r="C32" s="99">
        <f>90000+7500+2500-23000+1000+1000+1000</f>
        <v>80000</v>
      </c>
      <c r="D32" s="100"/>
      <c r="T32" s="487"/>
      <c r="U32" s="402">
        <v>10000</v>
      </c>
      <c r="V32" s="402">
        <v>5000</v>
      </c>
      <c r="W32" s="402">
        <v>4000</v>
      </c>
      <c r="X32" s="402">
        <v>3000</v>
      </c>
      <c r="Y32" s="402">
        <v>2000</v>
      </c>
      <c r="Z32" s="402">
        <v>1000</v>
      </c>
      <c r="AA32" s="403"/>
      <c r="AC32" s="487"/>
      <c r="AD32" s="402">
        <f t="shared" si="1"/>
        <v>5000</v>
      </c>
      <c r="AE32" s="402">
        <f t="shared" si="2"/>
        <v>2500</v>
      </c>
      <c r="AF32" s="402">
        <f t="shared" si="3"/>
        <v>2000</v>
      </c>
      <c r="AG32" s="402">
        <f t="shared" si="4"/>
        <v>1500</v>
      </c>
      <c r="AH32" s="402">
        <f t="shared" si="5"/>
        <v>1000</v>
      </c>
      <c r="AI32" s="402">
        <f t="shared" si="6"/>
        <v>500</v>
      </c>
      <c r="AJ32" s="402">
        <f t="shared" si="7"/>
        <v>0</v>
      </c>
    </row>
    <row r="33" spans="1:36">
      <c r="A33" s="89" t="s">
        <v>332</v>
      </c>
      <c r="B33" s="99">
        <v>5000</v>
      </c>
      <c r="C33" s="99">
        <v>5000</v>
      </c>
      <c r="D33" s="100"/>
      <c r="E33" s="236" t="s">
        <v>234</v>
      </c>
      <c r="H33" s="238" t="s">
        <v>233</v>
      </c>
      <c r="T33" s="488"/>
      <c r="U33" s="402">
        <v>10000</v>
      </c>
      <c r="V33" s="402">
        <v>5000</v>
      </c>
      <c r="W33" s="402">
        <v>4000</v>
      </c>
      <c r="X33" s="402">
        <v>3000</v>
      </c>
      <c r="Y33" s="402">
        <v>2000</v>
      </c>
      <c r="Z33" s="402">
        <v>1000</v>
      </c>
      <c r="AA33" s="402">
        <v>75000</v>
      </c>
      <c r="AC33" s="488"/>
      <c r="AD33" s="402">
        <f t="shared" si="1"/>
        <v>5000</v>
      </c>
      <c r="AE33" s="402">
        <f t="shared" si="2"/>
        <v>2500</v>
      </c>
      <c r="AF33" s="402">
        <f t="shared" si="3"/>
        <v>2000</v>
      </c>
      <c r="AG33" s="402">
        <f t="shared" si="4"/>
        <v>1500</v>
      </c>
      <c r="AH33" s="402">
        <f t="shared" si="5"/>
        <v>1000</v>
      </c>
      <c r="AI33" s="402">
        <f t="shared" si="6"/>
        <v>500</v>
      </c>
      <c r="AJ33" s="402">
        <f t="shared" si="7"/>
        <v>37500</v>
      </c>
    </row>
    <row r="34" spans="1:36">
      <c r="A34" s="89" t="s">
        <v>339</v>
      </c>
      <c r="B34" s="99">
        <f>7500+2500</f>
        <v>10000</v>
      </c>
      <c r="C34" s="99">
        <f>7500+2500</f>
        <v>10000</v>
      </c>
      <c r="D34" s="100"/>
      <c r="E34" s="99">
        <f>B43-C43</f>
        <v>29500</v>
      </c>
      <c r="F34" s="100"/>
      <c r="H34" s="237">
        <f>SUM(F3:F8,H3:H8,U3:U5,Y3:Y5,AA3,U8:U10,W3:W4,J3:J8,W8:W10,Y8:Y10,K15:K20,K22,L3:L8,N3:N8,P3:P8)</f>
        <v>29500</v>
      </c>
    </row>
    <row r="35" spans="1:36">
      <c r="A35" s="89" t="s">
        <v>404</v>
      </c>
      <c r="B35" s="99">
        <f>41500-23000+2000-42857+1000+1500+5000+500+1000+5000</f>
        <v>-8357</v>
      </c>
      <c r="C35" s="99">
        <f>41500-23000+2000-42857+1000+1500+5000+500+1000</f>
        <v>-13357</v>
      </c>
      <c r="D35" s="100"/>
      <c r="E35" s="354"/>
      <c r="F35" s="246"/>
      <c r="G35" s="246"/>
      <c r="H35" s="354"/>
      <c r="T35" t="s">
        <v>385</v>
      </c>
      <c r="AC35" t="s">
        <v>408</v>
      </c>
    </row>
    <row r="36" spans="1:36">
      <c r="A36" s="89" t="s">
        <v>372</v>
      </c>
      <c r="B36" s="99">
        <f>1000+5000+2500+1500+2000+1000</f>
        <v>13000</v>
      </c>
      <c r="C36" s="99">
        <f>1000+5000+2500+1500+2000</f>
        <v>12000</v>
      </c>
      <c r="D36" s="100"/>
      <c r="E36" s="246"/>
      <c r="F36" s="353"/>
      <c r="G36" s="353"/>
      <c r="H36" s="246"/>
      <c r="T36" t="s">
        <v>386</v>
      </c>
      <c r="AC36" t="s">
        <v>386</v>
      </c>
    </row>
    <row r="37" spans="1:36">
      <c r="A37" s="89" t="s">
        <v>371</v>
      </c>
      <c r="B37" s="99">
        <f>5000+1000+500</f>
        <v>6500</v>
      </c>
      <c r="C37" s="99">
        <f>5000+1000</f>
        <v>6000</v>
      </c>
      <c r="D37" s="100"/>
      <c r="E37" s="246"/>
      <c r="F37" s="353"/>
      <c r="G37" s="353"/>
      <c r="H37" s="246"/>
      <c r="T37" t="s">
        <v>387</v>
      </c>
      <c r="AC37" t="s">
        <v>387</v>
      </c>
    </row>
    <row r="38" spans="1:36">
      <c r="A38" s="89" t="s">
        <v>470</v>
      </c>
      <c r="B38" s="99">
        <f>10000+1000</f>
        <v>11000</v>
      </c>
      <c r="C38" s="99">
        <f>10000+1000</f>
        <v>11000</v>
      </c>
      <c r="D38" s="100"/>
      <c r="E38" s="246"/>
      <c r="F38" s="353"/>
      <c r="G38" s="353"/>
      <c r="H38" s="246"/>
      <c r="T38" t="s">
        <v>388</v>
      </c>
      <c r="AC38" t="s">
        <v>388</v>
      </c>
    </row>
    <row r="39" spans="1:36">
      <c r="A39" s="89" t="s">
        <v>479</v>
      </c>
      <c r="B39" s="99">
        <f>500+10000+1000+5000</f>
        <v>16500</v>
      </c>
      <c r="C39" s="99">
        <f>500+10000+1000+5000</f>
        <v>16500</v>
      </c>
      <c r="D39" s="100"/>
      <c r="E39" s="246"/>
      <c r="F39" s="353"/>
      <c r="G39" s="353"/>
      <c r="H39" s="246"/>
      <c r="T39" t="s">
        <v>389</v>
      </c>
      <c r="AC39" t="s">
        <v>389</v>
      </c>
    </row>
    <row r="40" spans="1:36">
      <c r="A40" s="89"/>
      <c r="B40" s="99"/>
      <c r="C40" s="99"/>
      <c r="D40" s="100"/>
      <c r="E40" s="246"/>
      <c r="F40" s="353"/>
      <c r="G40" s="353"/>
      <c r="H40" s="246"/>
      <c r="T40" t="s">
        <v>390</v>
      </c>
      <c r="AC40" t="s">
        <v>390</v>
      </c>
    </row>
    <row r="41" spans="1:36">
      <c r="A41" s="89"/>
      <c r="B41" s="99"/>
      <c r="C41" s="99"/>
      <c r="D41" s="100"/>
      <c r="E41" s="246"/>
      <c r="F41" s="353"/>
      <c r="G41" s="353"/>
      <c r="H41" s="246"/>
      <c r="T41" t="s">
        <v>391</v>
      </c>
      <c r="AC41" t="s">
        <v>391</v>
      </c>
    </row>
    <row r="42" spans="1:36">
      <c r="A42" s="89"/>
      <c r="B42" s="99"/>
      <c r="C42" s="99"/>
      <c r="D42" s="100"/>
      <c r="E42" s="246"/>
      <c r="F42" s="353"/>
      <c r="G42" s="353"/>
      <c r="H42" s="246"/>
    </row>
    <row r="43" spans="1:36">
      <c r="A43" s="89" t="s">
        <v>115</v>
      </c>
      <c r="B43" s="99">
        <f>SUM(B4:B42)</f>
        <v>1140349</v>
      </c>
      <c r="C43" s="99">
        <f>SUM(C4:C42)</f>
        <v>1110849</v>
      </c>
      <c r="D43" s="100"/>
      <c r="F43" s="100"/>
      <c r="T43" t="s">
        <v>392</v>
      </c>
      <c r="AC43" t="s">
        <v>392</v>
      </c>
    </row>
    <row r="44" spans="1:36">
      <c r="T44" t="s">
        <v>393</v>
      </c>
      <c r="AC44" t="s">
        <v>393</v>
      </c>
    </row>
    <row r="48" spans="1:36">
      <c r="A48" s="479" t="s">
        <v>116</v>
      </c>
      <c r="B48" s="485"/>
      <c r="C48" s="485"/>
      <c r="D48" s="480"/>
    </row>
    <row r="49" spans="1:21">
      <c r="A49" s="479" t="s">
        <v>117</v>
      </c>
      <c r="B49" s="480"/>
      <c r="C49" s="82" t="s">
        <v>90</v>
      </c>
      <c r="D49" s="82" t="s">
        <v>118</v>
      </c>
    </row>
    <row r="50" spans="1:21">
      <c r="A50" s="470">
        <v>45817</v>
      </c>
      <c r="B50" s="472"/>
      <c r="C50" s="102" t="s">
        <v>11</v>
      </c>
      <c r="D50" s="292">
        <v>82000</v>
      </c>
    </row>
    <row r="51" spans="1:21">
      <c r="A51" s="470">
        <v>45763</v>
      </c>
      <c r="B51" s="472"/>
      <c r="C51" s="102" t="s">
        <v>449</v>
      </c>
      <c r="D51" s="292">
        <v>10000</v>
      </c>
    </row>
    <row r="52" spans="1:21">
      <c r="A52" s="470">
        <v>45763</v>
      </c>
      <c r="B52" s="472"/>
      <c r="C52" s="102" t="s">
        <v>450</v>
      </c>
      <c r="D52" s="292">
        <v>10000</v>
      </c>
      <c r="T52" s="497" t="s">
        <v>459</v>
      </c>
      <c r="U52" s="498"/>
    </row>
    <row r="53" spans="1:21">
      <c r="A53" s="470">
        <v>45763</v>
      </c>
      <c r="B53" s="472"/>
      <c r="C53" s="102" t="s">
        <v>451</v>
      </c>
      <c r="D53" s="292">
        <v>10000</v>
      </c>
      <c r="T53" s="45" t="s">
        <v>460</v>
      </c>
      <c r="U53" s="99">
        <v>37000</v>
      </c>
    </row>
    <row r="54" spans="1:21">
      <c r="A54" s="470">
        <v>45763</v>
      </c>
      <c r="B54" s="472"/>
      <c r="C54" s="102" t="s">
        <v>443</v>
      </c>
      <c r="D54" s="292">
        <v>10000</v>
      </c>
      <c r="T54" s="45" t="s">
        <v>461</v>
      </c>
      <c r="U54" s="45">
        <v>-11411</v>
      </c>
    </row>
    <row r="55" spans="1:21">
      <c r="A55" s="470">
        <v>45763</v>
      </c>
      <c r="B55" s="472"/>
      <c r="C55" s="102" t="s">
        <v>444</v>
      </c>
      <c r="D55" s="292">
        <v>10000</v>
      </c>
    </row>
    <row r="56" spans="1:21">
      <c r="A56" s="470">
        <v>45763</v>
      </c>
      <c r="B56" s="472"/>
      <c r="C56" s="102" t="s">
        <v>445</v>
      </c>
      <c r="D56" s="292">
        <v>10000</v>
      </c>
    </row>
    <row r="57" spans="1:21">
      <c r="A57" s="470">
        <v>45763</v>
      </c>
      <c r="B57" s="472"/>
      <c r="C57" s="102" t="s">
        <v>446</v>
      </c>
      <c r="D57" s="292">
        <v>10000</v>
      </c>
    </row>
    <row r="58" spans="1:21">
      <c r="A58" s="470">
        <v>45763</v>
      </c>
      <c r="B58" s="472"/>
      <c r="C58" s="102" t="s">
        <v>447</v>
      </c>
      <c r="D58" s="292">
        <v>10000</v>
      </c>
    </row>
    <row r="59" spans="1:21">
      <c r="A59" s="470">
        <v>45763</v>
      </c>
      <c r="B59" s="472"/>
      <c r="C59" s="102" t="s">
        <v>448</v>
      </c>
      <c r="D59" s="292">
        <v>10000</v>
      </c>
    </row>
    <row r="60" spans="1:21">
      <c r="A60" s="470">
        <v>45763</v>
      </c>
      <c r="B60" s="472"/>
      <c r="C60" s="102" t="s">
        <v>436</v>
      </c>
      <c r="D60" s="292">
        <v>42857</v>
      </c>
    </row>
    <row r="61" spans="1:21">
      <c r="A61" s="470">
        <v>45763</v>
      </c>
      <c r="B61" s="472"/>
      <c r="C61" s="102" t="s">
        <v>437</v>
      </c>
      <c r="D61" s="292">
        <v>42857</v>
      </c>
    </row>
    <row r="62" spans="1:21">
      <c r="A62" s="470">
        <v>45763</v>
      </c>
      <c r="B62" s="472"/>
      <c r="C62" s="102" t="s">
        <v>438</v>
      </c>
      <c r="D62" s="292">
        <v>42857</v>
      </c>
    </row>
    <row r="63" spans="1:21">
      <c r="A63" s="470">
        <v>45763</v>
      </c>
      <c r="B63" s="472"/>
      <c r="C63" s="102" t="s">
        <v>439</v>
      </c>
      <c r="D63" s="292">
        <v>42858</v>
      </c>
    </row>
    <row r="64" spans="1:21">
      <c r="A64" s="470">
        <v>45763</v>
      </c>
      <c r="B64" s="472"/>
      <c r="C64" s="102" t="s">
        <v>440</v>
      </c>
      <c r="D64" s="292">
        <v>42857</v>
      </c>
    </row>
    <row r="65" spans="1:4">
      <c r="A65" s="470">
        <v>45763</v>
      </c>
      <c r="B65" s="472"/>
      <c r="C65" s="102" t="s">
        <v>441</v>
      </c>
      <c r="D65" s="292">
        <v>42857</v>
      </c>
    </row>
    <row r="66" spans="1:4">
      <c r="A66" s="470">
        <v>45763</v>
      </c>
      <c r="B66" s="472"/>
      <c r="C66" s="102" t="s">
        <v>442</v>
      </c>
      <c r="D66" s="292">
        <v>42857</v>
      </c>
    </row>
    <row r="67" spans="1:4">
      <c r="A67" s="470">
        <v>45761</v>
      </c>
      <c r="B67" s="472"/>
      <c r="C67" s="102" t="s">
        <v>416</v>
      </c>
      <c r="D67" s="292">
        <v>23000</v>
      </c>
    </row>
    <row r="68" spans="1:4">
      <c r="A68" s="470">
        <v>45761</v>
      </c>
      <c r="B68" s="472"/>
      <c r="C68" s="102" t="s">
        <v>417</v>
      </c>
      <c r="D68" s="292">
        <v>23000</v>
      </c>
    </row>
    <row r="69" spans="1:4">
      <c r="A69" s="470">
        <v>45761</v>
      </c>
      <c r="B69" s="472"/>
      <c r="C69" s="102" t="s">
        <v>418</v>
      </c>
      <c r="D69" s="292">
        <v>23000</v>
      </c>
    </row>
    <row r="70" spans="1:4">
      <c r="A70" s="470">
        <v>45761</v>
      </c>
      <c r="B70" s="472"/>
      <c r="C70" s="102" t="s">
        <v>419</v>
      </c>
      <c r="D70" s="292">
        <v>23000</v>
      </c>
    </row>
    <row r="71" spans="1:4">
      <c r="A71" s="470">
        <v>45761</v>
      </c>
      <c r="B71" s="472"/>
      <c r="C71" s="102" t="s">
        <v>420</v>
      </c>
      <c r="D71" s="292">
        <v>23000</v>
      </c>
    </row>
    <row r="72" spans="1:4">
      <c r="A72" s="470">
        <v>45761</v>
      </c>
      <c r="B72" s="472"/>
      <c r="C72" s="102" t="s">
        <v>421</v>
      </c>
      <c r="D72" s="292">
        <v>23000</v>
      </c>
    </row>
    <row r="73" spans="1:4">
      <c r="A73" s="470">
        <v>45761</v>
      </c>
      <c r="B73" s="472"/>
      <c r="C73" s="102" t="s">
        <v>422</v>
      </c>
      <c r="D73" s="292">
        <v>23000</v>
      </c>
    </row>
    <row r="74" spans="1:4">
      <c r="A74" s="470">
        <v>45761</v>
      </c>
      <c r="B74" s="472"/>
      <c r="C74" s="102" t="s">
        <v>423</v>
      </c>
      <c r="D74" s="292">
        <v>23000</v>
      </c>
    </row>
    <row r="75" spans="1:4">
      <c r="A75" s="470">
        <v>45761</v>
      </c>
      <c r="B75" s="472"/>
      <c r="C75" s="102" t="s">
        <v>424</v>
      </c>
      <c r="D75" s="292">
        <v>23000</v>
      </c>
    </row>
    <row r="76" spans="1:4">
      <c r="A76" s="470">
        <v>45761</v>
      </c>
      <c r="B76" s="472"/>
      <c r="C76" s="102" t="s">
        <v>425</v>
      </c>
      <c r="D76" s="292">
        <v>23000</v>
      </c>
    </row>
    <row r="77" spans="1:4">
      <c r="A77" s="470">
        <v>45761</v>
      </c>
      <c r="B77" s="472"/>
      <c r="C77" s="102" t="s">
        <v>426</v>
      </c>
      <c r="D77" s="292">
        <v>23000</v>
      </c>
    </row>
    <row r="78" spans="1:4">
      <c r="A78" s="470">
        <v>45761</v>
      </c>
      <c r="B78" s="472"/>
      <c r="C78" s="102" t="s">
        <v>427</v>
      </c>
      <c r="D78" s="292">
        <v>23000</v>
      </c>
    </row>
    <row r="79" spans="1:4">
      <c r="A79" s="470">
        <v>45761</v>
      </c>
      <c r="B79" s="472"/>
      <c r="C79" s="102" t="s">
        <v>428</v>
      </c>
      <c r="D79" s="292">
        <v>23000</v>
      </c>
    </row>
    <row r="80" spans="1:4">
      <c r="A80" s="470">
        <v>45761</v>
      </c>
      <c r="B80" s="472"/>
      <c r="C80" s="102" t="s">
        <v>429</v>
      </c>
      <c r="D80" s="292">
        <v>23000</v>
      </c>
    </row>
    <row r="81" spans="1:4">
      <c r="A81" s="470">
        <v>45761</v>
      </c>
      <c r="B81" s="472"/>
      <c r="C81" s="102" t="s">
        <v>430</v>
      </c>
      <c r="D81" s="292">
        <v>23000</v>
      </c>
    </row>
    <row r="82" spans="1:4">
      <c r="A82" s="470">
        <v>45761</v>
      </c>
      <c r="B82" s="472"/>
      <c r="C82" s="102" t="s">
        <v>431</v>
      </c>
      <c r="D82" s="292">
        <v>23000</v>
      </c>
    </row>
    <row r="83" spans="1:4">
      <c r="A83" s="470">
        <v>45761</v>
      </c>
      <c r="B83" s="472"/>
      <c r="C83" s="102" t="s">
        <v>432</v>
      </c>
      <c r="D83" s="292">
        <v>23000</v>
      </c>
    </row>
    <row r="84" spans="1:4">
      <c r="A84" s="470">
        <v>45761</v>
      </c>
      <c r="B84" s="472"/>
      <c r="C84" s="102" t="s">
        <v>433</v>
      </c>
      <c r="D84" s="292">
        <v>23000</v>
      </c>
    </row>
    <row r="85" spans="1:4">
      <c r="A85" s="470">
        <v>45761</v>
      </c>
      <c r="B85" s="472"/>
      <c r="C85" s="102" t="s">
        <v>434</v>
      </c>
      <c r="D85" s="292">
        <v>23000</v>
      </c>
    </row>
    <row r="86" spans="1:4">
      <c r="A86" s="470">
        <v>45761</v>
      </c>
      <c r="B86" s="472"/>
      <c r="C86" s="102" t="s">
        <v>435</v>
      </c>
      <c r="D86" s="292">
        <v>23000</v>
      </c>
    </row>
    <row r="87" spans="1:4">
      <c r="A87" s="470">
        <v>45750</v>
      </c>
      <c r="B87" s="472"/>
      <c r="C87" s="102" t="s">
        <v>37</v>
      </c>
      <c r="D87" s="292">
        <v>10000</v>
      </c>
    </row>
    <row r="88" spans="1:4">
      <c r="A88" s="470">
        <v>45741</v>
      </c>
      <c r="B88" s="472"/>
      <c r="C88" s="102" t="s">
        <v>413</v>
      </c>
      <c r="D88" s="292">
        <v>60000</v>
      </c>
    </row>
    <row r="89" spans="1:4">
      <c r="A89" s="470">
        <v>45708</v>
      </c>
      <c r="B89" s="472"/>
      <c r="C89" s="102" t="s">
        <v>8</v>
      </c>
      <c r="D89" s="292">
        <v>35650</v>
      </c>
    </row>
    <row r="90" spans="1:4">
      <c r="A90" s="470">
        <v>45708</v>
      </c>
      <c r="B90" s="472"/>
      <c r="C90" s="102" t="s">
        <v>37</v>
      </c>
      <c r="D90" s="292">
        <v>35650</v>
      </c>
    </row>
    <row r="91" spans="1:4">
      <c r="A91" s="470">
        <v>45708</v>
      </c>
      <c r="B91" s="472"/>
      <c r="C91" s="102" t="s">
        <v>9</v>
      </c>
      <c r="D91" s="292">
        <v>35650</v>
      </c>
    </row>
    <row r="92" spans="1:4">
      <c r="A92" s="470">
        <v>45708</v>
      </c>
      <c r="B92" s="472"/>
      <c r="C92" s="102" t="s">
        <v>17</v>
      </c>
      <c r="D92" s="292">
        <v>35650</v>
      </c>
    </row>
    <row r="93" spans="1:4">
      <c r="A93" s="470">
        <v>45708</v>
      </c>
      <c r="B93" s="472"/>
      <c r="C93" s="102" t="s">
        <v>32</v>
      </c>
      <c r="D93" s="292">
        <v>35650</v>
      </c>
    </row>
    <row r="94" spans="1:4">
      <c r="A94" s="470">
        <v>45708</v>
      </c>
      <c r="B94" s="472"/>
      <c r="C94" s="102" t="s">
        <v>13</v>
      </c>
      <c r="D94" s="292">
        <v>35650</v>
      </c>
    </row>
    <row r="95" spans="1:4">
      <c r="A95" s="470">
        <v>45708</v>
      </c>
      <c r="B95" s="472"/>
      <c r="C95" s="102" t="s">
        <v>12</v>
      </c>
      <c r="D95" s="292">
        <v>35650</v>
      </c>
    </row>
    <row r="96" spans="1:4">
      <c r="A96" s="470">
        <v>45708</v>
      </c>
      <c r="B96" s="472"/>
      <c r="C96" s="102" t="s">
        <v>10</v>
      </c>
      <c r="D96" s="292">
        <v>35650</v>
      </c>
    </row>
    <row r="97" spans="1:8">
      <c r="A97" s="470">
        <v>45708</v>
      </c>
      <c r="B97" s="472"/>
      <c r="C97" s="102" t="s">
        <v>361</v>
      </c>
      <c r="D97" s="292">
        <v>35650</v>
      </c>
    </row>
    <row r="98" spans="1:8">
      <c r="A98" s="470">
        <v>45708</v>
      </c>
      <c r="B98" s="472"/>
      <c r="C98" s="102" t="s">
        <v>281</v>
      </c>
      <c r="D98" s="292">
        <v>35650</v>
      </c>
      <c r="H98" t="s">
        <v>327</v>
      </c>
    </row>
    <row r="99" spans="1:8">
      <c r="A99" s="470">
        <v>45706</v>
      </c>
      <c r="B99" s="472"/>
      <c r="C99" s="102" t="s">
        <v>8</v>
      </c>
      <c r="D99" s="292">
        <v>50000</v>
      </c>
    </row>
    <row r="100" spans="1:8">
      <c r="A100" s="470">
        <v>45695</v>
      </c>
      <c r="B100" s="472"/>
      <c r="C100" s="102" t="s">
        <v>23</v>
      </c>
      <c r="D100" s="292">
        <v>70800</v>
      </c>
    </row>
    <row r="101" spans="1:8">
      <c r="A101" s="470">
        <v>45677</v>
      </c>
      <c r="B101" s="472"/>
      <c r="C101" s="102" t="s">
        <v>330</v>
      </c>
      <c r="D101" s="292">
        <v>54500</v>
      </c>
    </row>
    <row r="102" spans="1:8">
      <c r="A102" s="470">
        <v>45677</v>
      </c>
      <c r="B102" s="472"/>
      <c r="C102" s="102" t="s">
        <v>329</v>
      </c>
      <c r="D102" s="292">
        <v>50000</v>
      </c>
    </row>
    <row r="103" spans="1:8">
      <c r="A103" s="470">
        <v>45677</v>
      </c>
      <c r="B103" s="472"/>
      <c r="C103" s="102" t="s">
        <v>328</v>
      </c>
      <c r="D103" s="292">
        <v>36314</v>
      </c>
    </row>
    <row r="104" spans="1:8">
      <c r="A104" s="470">
        <v>45659</v>
      </c>
      <c r="B104" s="472"/>
      <c r="C104" s="89" t="s">
        <v>10</v>
      </c>
      <c r="D104" s="292">
        <v>32750</v>
      </c>
    </row>
    <row r="105" spans="1:8">
      <c r="A105" s="470">
        <v>45632</v>
      </c>
      <c r="B105" s="472"/>
      <c r="C105" s="89" t="s">
        <v>305</v>
      </c>
      <c r="D105" s="292">
        <v>7000</v>
      </c>
    </row>
    <row r="106" spans="1:8">
      <c r="A106" s="470">
        <v>45565</v>
      </c>
      <c r="B106" s="472"/>
      <c r="C106" s="89" t="s">
        <v>283</v>
      </c>
      <c r="D106" s="292">
        <v>5000</v>
      </c>
    </row>
    <row r="107" spans="1:8">
      <c r="A107" s="467">
        <v>45561</v>
      </c>
      <c r="B107" s="467"/>
      <c r="C107" s="72" t="s">
        <v>280</v>
      </c>
      <c r="D107" s="293">
        <v>33589</v>
      </c>
    </row>
    <row r="108" spans="1:8">
      <c r="A108" s="467">
        <v>45560</v>
      </c>
      <c r="B108" s="467"/>
      <c r="C108" s="72" t="s">
        <v>284</v>
      </c>
      <c r="D108" s="293">
        <v>36625</v>
      </c>
    </row>
    <row r="109" spans="1:8">
      <c r="A109" s="467">
        <v>45560</v>
      </c>
      <c r="B109" s="467"/>
      <c r="C109" s="72" t="s">
        <v>285</v>
      </c>
      <c r="D109" s="293">
        <v>36625</v>
      </c>
    </row>
    <row r="110" spans="1:8">
      <c r="A110" s="467">
        <v>45560</v>
      </c>
      <c r="B110" s="467"/>
      <c r="C110" s="72" t="s">
        <v>286</v>
      </c>
      <c r="D110" s="293">
        <v>36625</v>
      </c>
    </row>
    <row r="111" spans="1:8">
      <c r="A111" s="467">
        <v>45560</v>
      </c>
      <c r="B111" s="467"/>
      <c r="C111" s="72" t="s">
        <v>287</v>
      </c>
      <c r="D111" s="293">
        <v>36625</v>
      </c>
    </row>
    <row r="112" spans="1:8">
      <c r="A112" s="467">
        <v>45560</v>
      </c>
      <c r="B112" s="467"/>
      <c r="C112" s="72" t="s">
        <v>288</v>
      </c>
      <c r="D112" s="293">
        <v>36625</v>
      </c>
    </row>
    <row r="113" spans="1:4">
      <c r="A113" s="467">
        <v>45560</v>
      </c>
      <c r="B113" s="467"/>
      <c r="C113" s="72" t="s">
        <v>289</v>
      </c>
      <c r="D113" s="293">
        <v>36625</v>
      </c>
    </row>
    <row r="114" spans="1:4">
      <c r="A114" s="467">
        <v>45560</v>
      </c>
      <c r="B114" s="467"/>
      <c r="C114" s="72" t="s">
        <v>290</v>
      </c>
      <c r="D114" s="293">
        <v>36625</v>
      </c>
    </row>
    <row r="115" spans="1:4">
      <c r="A115" s="467">
        <v>45560</v>
      </c>
      <c r="B115" s="467"/>
      <c r="C115" s="72" t="s">
        <v>291</v>
      </c>
      <c r="D115" s="293">
        <v>36625</v>
      </c>
    </row>
    <row r="116" spans="1:4">
      <c r="A116" s="467">
        <v>45462</v>
      </c>
      <c r="B116" s="467"/>
      <c r="C116" s="72" t="s">
        <v>17</v>
      </c>
      <c r="D116" s="293">
        <v>8</v>
      </c>
    </row>
    <row r="117" spans="1:4">
      <c r="A117" s="467">
        <v>45462</v>
      </c>
      <c r="B117" s="467"/>
      <c r="C117" s="72" t="s">
        <v>257</v>
      </c>
      <c r="D117" s="293">
        <v>52888</v>
      </c>
    </row>
    <row r="118" spans="1:4">
      <c r="A118" s="467">
        <v>45462</v>
      </c>
      <c r="B118" s="467"/>
      <c r="C118" s="72" t="s">
        <v>258</v>
      </c>
      <c r="D118" s="293">
        <v>52888</v>
      </c>
    </row>
    <row r="119" spans="1:4">
      <c r="A119" s="467">
        <v>45462</v>
      </c>
      <c r="B119" s="467"/>
      <c r="C119" s="72" t="s">
        <v>259</v>
      </c>
      <c r="D119" s="293">
        <v>52888</v>
      </c>
    </row>
    <row r="120" spans="1:4">
      <c r="A120" s="467">
        <v>45462</v>
      </c>
      <c r="B120" s="467"/>
      <c r="C120" s="72" t="s">
        <v>260</v>
      </c>
      <c r="D120" s="293">
        <v>52888</v>
      </c>
    </row>
    <row r="121" spans="1:4">
      <c r="A121" s="467">
        <v>45462</v>
      </c>
      <c r="B121" s="467"/>
      <c r="C121" s="72" t="s">
        <v>256</v>
      </c>
      <c r="D121" s="293">
        <v>52888</v>
      </c>
    </row>
    <row r="122" spans="1:4">
      <c r="A122" s="467">
        <v>45462</v>
      </c>
      <c r="B122" s="467"/>
      <c r="C122" s="72" t="s">
        <v>261</v>
      </c>
      <c r="D122" s="293">
        <v>52888</v>
      </c>
    </row>
    <row r="123" spans="1:4">
      <c r="A123" s="467">
        <v>45462</v>
      </c>
      <c r="B123" s="467"/>
      <c r="C123" s="72" t="s">
        <v>262</v>
      </c>
      <c r="D123" s="293">
        <v>52888</v>
      </c>
    </row>
    <row r="124" spans="1:4">
      <c r="A124" s="467">
        <v>45462</v>
      </c>
      <c r="B124" s="467"/>
      <c r="C124" s="72" t="s">
        <v>263</v>
      </c>
      <c r="D124" s="293">
        <v>52888</v>
      </c>
    </row>
    <row r="125" spans="1:4">
      <c r="A125" s="467">
        <v>45462</v>
      </c>
      <c r="B125" s="467"/>
      <c r="C125" s="72" t="s">
        <v>264</v>
      </c>
      <c r="D125" s="293">
        <v>52888</v>
      </c>
    </row>
    <row r="126" spans="1:4">
      <c r="A126" s="467">
        <v>45453</v>
      </c>
      <c r="B126" s="467"/>
      <c r="C126" s="89" t="s">
        <v>30</v>
      </c>
      <c r="D126" s="294">
        <v>224827</v>
      </c>
    </row>
    <row r="127" spans="1:4">
      <c r="A127" s="470">
        <v>45429</v>
      </c>
      <c r="B127" s="475"/>
      <c r="C127" s="89" t="s">
        <v>10</v>
      </c>
      <c r="D127" s="295">
        <v>40000</v>
      </c>
    </row>
    <row r="128" spans="1:4">
      <c r="A128" s="470">
        <v>45429</v>
      </c>
      <c r="B128" s="475"/>
      <c r="C128" s="89" t="s">
        <v>37</v>
      </c>
      <c r="D128" s="295">
        <v>48000</v>
      </c>
    </row>
    <row r="129" spans="1:4">
      <c r="A129" s="470">
        <v>45428</v>
      </c>
      <c r="B129" s="475"/>
      <c r="C129" s="89" t="s">
        <v>238</v>
      </c>
      <c r="D129" s="295">
        <v>50000</v>
      </c>
    </row>
    <row r="130" spans="1:4">
      <c r="A130" s="470">
        <v>45414</v>
      </c>
      <c r="B130" s="475"/>
      <c r="C130" s="89" t="s">
        <v>42</v>
      </c>
      <c r="D130" s="295">
        <v>44000</v>
      </c>
    </row>
    <row r="131" spans="1:4">
      <c r="A131" s="470">
        <v>45377</v>
      </c>
      <c r="B131" s="475"/>
      <c r="C131" s="89" t="s">
        <v>235</v>
      </c>
      <c r="D131" s="295">
        <v>30000</v>
      </c>
    </row>
    <row r="132" spans="1:4">
      <c r="A132" s="470">
        <v>45357</v>
      </c>
      <c r="B132" s="475"/>
      <c r="C132" s="89" t="s">
        <v>202</v>
      </c>
      <c r="D132" s="295">
        <v>30000</v>
      </c>
    </row>
    <row r="133" spans="1:4">
      <c r="A133" s="470">
        <v>45322</v>
      </c>
      <c r="B133" s="475"/>
      <c r="C133" s="89" t="s">
        <v>119</v>
      </c>
      <c r="D133" s="101">
        <v>25500</v>
      </c>
    </row>
    <row r="134" spans="1:4">
      <c r="A134" s="470">
        <v>45307</v>
      </c>
      <c r="B134" s="475"/>
      <c r="C134" s="89" t="s">
        <v>13</v>
      </c>
      <c r="D134" s="101">
        <v>35000</v>
      </c>
    </row>
    <row r="135" spans="1:4">
      <c r="A135" s="470">
        <v>45302</v>
      </c>
      <c r="B135" s="475"/>
      <c r="C135" s="89" t="s">
        <v>11</v>
      </c>
      <c r="D135" s="101">
        <v>120800</v>
      </c>
    </row>
    <row r="136" spans="1:4">
      <c r="A136" s="470">
        <v>45302</v>
      </c>
      <c r="B136" s="475"/>
      <c r="C136" s="89" t="s">
        <v>41</v>
      </c>
      <c r="D136" s="101">
        <v>40000</v>
      </c>
    </row>
    <row r="137" spans="1:4">
      <c r="A137" s="470">
        <v>45281</v>
      </c>
      <c r="B137" s="471"/>
      <c r="C137" s="89" t="s">
        <v>9</v>
      </c>
      <c r="D137" s="101">
        <v>50000</v>
      </c>
    </row>
    <row r="138" spans="1:4">
      <c r="A138" s="468">
        <v>45189</v>
      </c>
      <c r="B138" s="469"/>
      <c r="C138" s="84" t="s">
        <v>10</v>
      </c>
      <c r="D138" s="101">
        <v>31411</v>
      </c>
    </row>
    <row r="139" spans="1:4">
      <c r="A139" s="468">
        <v>45189</v>
      </c>
      <c r="B139" s="469"/>
      <c r="C139" s="84" t="s">
        <v>39</v>
      </c>
      <c r="D139" s="101">
        <v>31411</v>
      </c>
    </row>
    <row r="140" spans="1:4">
      <c r="A140" s="468">
        <v>45189</v>
      </c>
      <c r="B140" s="469"/>
      <c r="C140" s="84" t="s">
        <v>15</v>
      </c>
      <c r="D140" s="101">
        <v>31411</v>
      </c>
    </row>
    <row r="141" spans="1:4">
      <c r="A141" s="468">
        <v>45189</v>
      </c>
      <c r="B141" s="469"/>
      <c r="C141" s="84" t="s">
        <v>9</v>
      </c>
      <c r="D141" s="101">
        <v>31411</v>
      </c>
    </row>
    <row r="142" spans="1:4">
      <c r="A142" s="468">
        <v>45189</v>
      </c>
      <c r="B142" s="469"/>
      <c r="C142" s="84" t="s">
        <v>32</v>
      </c>
      <c r="D142" s="101">
        <v>31411</v>
      </c>
    </row>
    <row r="143" spans="1:4">
      <c r="A143" s="468">
        <v>45189</v>
      </c>
      <c r="B143" s="469"/>
      <c r="C143" s="84" t="s">
        <v>30</v>
      </c>
      <c r="D143" s="101">
        <v>31411</v>
      </c>
    </row>
    <row r="144" spans="1:4">
      <c r="A144" s="468">
        <v>45189</v>
      </c>
      <c r="B144" s="469"/>
      <c r="C144" s="84" t="s">
        <v>13</v>
      </c>
      <c r="D144" s="101">
        <v>31411</v>
      </c>
    </row>
    <row r="145" spans="1:4">
      <c r="A145" s="468">
        <v>45189</v>
      </c>
      <c r="B145" s="469"/>
      <c r="C145" s="84" t="s">
        <v>8</v>
      </c>
      <c r="D145" s="101">
        <v>31411</v>
      </c>
    </row>
    <row r="146" spans="1:4">
      <c r="A146" s="468">
        <v>45189</v>
      </c>
      <c r="B146" s="469"/>
      <c r="C146" s="84" t="s">
        <v>14</v>
      </c>
      <c r="D146" s="101">
        <v>31411</v>
      </c>
    </row>
    <row r="147" spans="1:4">
      <c r="A147" s="468">
        <v>45189</v>
      </c>
      <c r="B147" s="469"/>
      <c r="C147" s="84" t="s">
        <v>37</v>
      </c>
      <c r="D147" s="101">
        <v>31411</v>
      </c>
    </row>
    <row r="148" spans="1:4">
      <c r="A148" s="468">
        <v>45189</v>
      </c>
      <c r="B148" s="469"/>
      <c r="C148" s="84" t="s">
        <v>17</v>
      </c>
      <c r="D148" s="101">
        <v>31411</v>
      </c>
    </row>
    <row r="149" spans="1:4">
      <c r="A149" s="468">
        <v>45189</v>
      </c>
      <c r="B149" s="469"/>
      <c r="C149" s="84" t="s">
        <v>35</v>
      </c>
      <c r="D149" s="101">
        <v>31411</v>
      </c>
    </row>
    <row r="150" spans="1:4">
      <c r="A150" s="468">
        <v>45189</v>
      </c>
      <c r="B150" s="469"/>
      <c r="C150" s="84" t="s">
        <v>36</v>
      </c>
      <c r="D150" s="101">
        <v>31411</v>
      </c>
    </row>
    <row r="151" spans="1:4">
      <c r="A151" s="468">
        <v>45189</v>
      </c>
      <c r="B151" s="469"/>
      <c r="C151" s="84" t="s">
        <v>12</v>
      </c>
      <c r="D151" s="101">
        <v>31411</v>
      </c>
    </row>
    <row r="152" spans="1:4">
      <c r="A152" s="468">
        <v>45189</v>
      </c>
      <c r="B152" s="469"/>
      <c r="C152" s="84" t="s">
        <v>120</v>
      </c>
      <c r="D152" s="101">
        <v>31411</v>
      </c>
    </row>
    <row r="153" spans="1:4">
      <c r="A153" s="468">
        <v>45189</v>
      </c>
      <c r="B153" s="469"/>
      <c r="C153" s="84" t="s">
        <v>33</v>
      </c>
      <c r="D153" s="101">
        <v>31411</v>
      </c>
    </row>
    <row r="154" spans="1:4">
      <c r="A154" s="468">
        <v>45189</v>
      </c>
      <c r="B154" s="469"/>
      <c r="C154" s="84" t="s">
        <v>26</v>
      </c>
      <c r="D154" s="101">
        <v>31411</v>
      </c>
    </row>
    <row r="155" spans="1:4">
      <c r="A155" s="468">
        <v>45167</v>
      </c>
      <c r="B155" s="476"/>
      <c r="C155" s="102" t="s">
        <v>30</v>
      </c>
      <c r="D155" s="101">
        <v>7000</v>
      </c>
    </row>
    <row r="156" spans="1:4">
      <c r="A156" s="468">
        <v>45167</v>
      </c>
      <c r="B156" s="476"/>
      <c r="C156" s="102" t="s">
        <v>16</v>
      </c>
      <c r="D156" s="101">
        <v>37000</v>
      </c>
    </row>
    <row r="157" spans="1:4">
      <c r="A157" s="470">
        <v>45113</v>
      </c>
      <c r="B157" s="471"/>
      <c r="C157" s="89" t="s">
        <v>12</v>
      </c>
      <c r="D157" s="97">
        <v>15000</v>
      </c>
    </row>
    <row r="158" spans="1:4">
      <c r="A158" s="473" t="s">
        <v>121</v>
      </c>
      <c r="B158" s="474"/>
      <c r="C158" s="89" t="s">
        <v>24</v>
      </c>
      <c r="D158" s="103">
        <v>33462</v>
      </c>
    </row>
    <row r="159" spans="1:4">
      <c r="A159" s="473" t="s">
        <v>121</v>
      </c>
      <c r="B159" s="474"/>
      <c r="C159" s="89" t="s">
        <v>10</v>
      </c>
      <c r="D159" s="103">
        <v>33462</v>
      </c>
    </row>
    <row r="160" spans="1:4">
      <c r="A160" s="473" t="s">
        <v>121</v>
      </c>
      <c r="B160" s="474"/>
      <c r="C160" s="89" t="s">
        <v>15</v>
      </c>
      <c r="D160" s="103">
        <v>33462</v>
      </c>
    </row>
    <row r="161" spans="1:4">
      <c r="A161" s="473" t="s">
        <v>121</v>
      </c>
      <c r="B161" s="474"/>
      <c r="C161" s="89" t="s">
        <v>9</v>
      </c>
      <c r="D161" s="103">
        <v>33462</v>
      </c>
    </row>
    <row r="162" spans="1:4">
      <c r="A162" s="473" t="s">
        <v>121</v>
      </c>
      <c r="B162" s="474"/>
      <c r="C162" s="89" t="s">
        <v>12</v>
      </c>
      <c r="D162" s="103">
        <v>33462</v>
      </c>
    </row>
    <row r="163" spans="1:4">
      <c r="A163" s="473" t="s">
        <v>121</v>
      </c>
      <c r="B163" s="474"/>
      <c r="C163" s="89" t="s">
        <v>22</v>
      </c>
      <c r="D163" s="103">
        <v>33462</v>
      </c>
    </row>
    <row r="164" spans="1:4">
      <c r="A164" s="473" t="s">
        <v>121</v>
      </c>
      <c r="B164" s="474"/>
      <c r="C164" s="89" t="s">
        <v>16</v>
      </c>
      <c r="D164" s="103">
        <v>33462</v>
      </c>
    </row>
    <row r="165" spans="1:4">
      <c r="A165" s="473" t="s">
        <v>121</v>
      </c>
      <c r="B165" s="474"/>
      <c r="C165" s="89" t="s">
        <v>13</v>
      </c>
      <c r="D165" s="103">
        <v>33462</v>
      </c>
    </row>
    <row r="166" spans="1:4">
      <c r="A166" s="473" t="s">
        <v>121</v>
      </c>
      <c r="B166" s="474"/>
      <c r="C166" s="89" t="s">
        <v>8</v>
      </c>
      <c r="D166" s="103">
        <v>33462</v>
      </c>
    </row>
    <row r="167" spans="1:4">
      <c r="A167" s="473" t="s">
        <v>121</v>
      </c>
      <c r="B167" s="474"/>
      <c r="C167" s="89" t="s">
        <v>40</v>
      </c>
      <c r="D167" s="103">
        <v>33462</v>
      </c>
    </row>
    <row r="168" spans="1:4">
      <c r="A168" s="473" t="s">
        <v>121</v>
      </c>
      <c r="B168" s="474"/>
      <c r="C168" s="89" t="s">
        <v>37</v>
      </c>
      <c r="D168" s="103">
        <v>33462</v>
      </c>
    </row>
    <row r="169" spans="1:4">
      <c r="A169" s="473" t="s">
        <v>121</v>
      </c>
      <c r="B169" s="474"/>
      <c r="C169" s="89" t="s">
        <v>17</v>
      </c>
      <c r="D169" s="103">
        <v>33462</v>
      </c>
    </row>
    <row r="170" spans="1:4">
      <c r="A170" s="473" t="s">
        <v>121</v>
      </c>
      <c r="B170" s="474"/>
      <c r="C170" s="89" t="s">
        <v>30</v>
      </c>
      <c r="D170" s="103">
        <v>33462</v>
      </c>
    </row>
    <row r="171" spans="1:4">
      <c r="A171" s="473" t="s">
        <v>122</v>
      </c>
      <c r="B171" s="474"/>
      <c r="C171" s="44" t="s">
        <v>13</v>
      </c>
      <c r="D171" s="97">
        <v>20000</v>
      </c>
    </row>
    <row r="172" spans="1:4">
      <c r="A172" s="473" t="s">
        <v>123</v>
      </c>
      <c r="B172" s="474"/>
      <c r="C172" s="44" t="s">
        <v>22</v>
      </c>
      <c r="D172" s="87">
        <v>110000</v>
      </c>
    </row>
    <row r="173" spans="1:4">
      <c r="A173" s="473" t="s">
        <v>124</v>
      </c>
      <c r="B173" s="474"/>
      <c r="C173" s="44" t="s">
        <v>23</v>
      </c>
      <c r="D173" s="87">
        <v>73000</v>
      </c>
    </row>
    <row r="174" spans="1:4">
      <c r="A174" s="473" t="s">
        <v>125</v>
      </c>
      <c r="B174" s="474"/>
      <c r="C174" s="44" t="s">
        <v>37</v>
      </c>
      <c r="D174" s="87">
        <v>175000</v>
      </c>
    </row>
    <row r="175" spans="1:4">
      <c r="A175" s="473" t="s">
        <v>125</v>
      </c>
      <c r="B175" s="474"/>
      <c r="C175" s="44" t="s">
        <v>126</v>
      </c>
      <c r="D175" s="97">
        <v>135000</v>
      </c>
    </row>
    <row r="176" spans="1:4">
      <c r="A176" s="473" t="s">
        <v>127</v>
      </c>
      <c r="B176" s="474"/>
      <c r="C176" s="89" t="s">
        <v>128</v>
      </c>
      <c r="D176" s="104">
        <v>10000</v>
      </c>
    </row>
    <row r="177" spans="1:4">
      <c r="A177" s="473" t="s">
        <v>129</v>
      </c>
      <c r="B177" s="474"/>
      <c r="C177" s="44" t="s">
        <v>16</v>
      </c>
      <c r="D177" s="105">
        <v>83900</v>
      </c>
    </row>
    <row r="178" spans="1:4">
      <c r="A178" s="473" t="s">
        <v>130</v>
      </c>
      <c r="B178" s="474"/>
      <c r="C178" s="44" t="s">
        <v>13</v>
      </c>
      <c r="D178" s="105">
        <v>90000</v>
      </c>
    </row>
    <row r="179" spans="1:4">
      <c r="A179" s="473" t="s">
        <v>131</v>
      </c>
      <c r="B179" s="474"/>
      <c r="C179" s="44" t="s">
        <v>9</v>
      </c>
      <c r="D179" s="105">
        <v>73000</v>
      </c>
    </row>
    <row r="180" spans="1:4">
      <c r="A180" s="473" t="s">
        <v>132</v>
      </c>
      <c r="B180" s="474"/>
      <c r="C180" s="44" t="s">
        <v>8</v>
      </c>
      <c r="D180" s="105">
        <v>7000</v>
      </c>
    </row>
  </sheetData>
  <mergeCells count="160">
    <mergeCell ref="A66:B66"/>
    <mergeCell ref="A59:B59"/>
    <mergeCell ref="A58:B58"/>
    <mergeCell ref="A147:B147"/>
    <mergeCell ref="A148:B148"/>
    <mergeCell ref="A149:B149"/>
    <mergeCell ref="A98:B98"/>
    <mergeCell ref="A97:B97"/>
    <mergeCell ref="A127:B127"/>
    <mergeCell ref="A129:B129"/>
    <mergeCell ref="A126:B126"/>
    <mergeCell ref="A104:B104"/>
    <mergeCell ref="A128:B128"/>
    <mergeCell ref="A125:B125"/>
    <mergeCell ref="A117:B117"/>
    <mergeCell ref="A122:B122"/>
    <mergeCell ref="A123:B123"/>
    <mergeCell ref="A124:B124"/>
    <mergeCell ref="A105:B105"/>
    <mergeCell ref="A121:B121"/>
    <mergeCell ref="A106:B106"/>
    <mergeCell ref="A107:B107"/>
    <mergeCell ref="A93:B93"/>
    <mergeCell ref="A60:B60"/>
    <mergeCell ref="AC19:AC21"/>
    <mergeCell ref="AC22:AC24"/>
    <mergeCell ref="AC25:AC27"/>
    <mergeCell ref="AC28:AC30"/>
    <mergeCell ref="AC31:AC33"/>
    <mergeCell ref="A65:B65"/>
    <mergeCell ref="A57:B57"/>
    <mergeCell ref="A54:B54"/>
    <mergeCell ref="A55:B55"/>
    <mergeCell ref="A56:B56"/>
    <mergeCell ref="A61:B61"/>
    <mergeCell ref="A62:B62"/>
    <mergeCell ref="A63:B63"/>
    <mergeCell ref="A64:B64"/>
    <mergeCell ref="A53:B53"/>
    <mergeCell ref="A51:B51"/>
    <mergeCell ref="A52:B52"/>
    <mergeCell ref="T52:U52"/>
    <mergeCell ref="A50:B50"/>
    <mergeCell ref="Z2:AA2"/>
    <mergeCell ref="A49:B49"/>
    <mergeCell ref="A2:C2"/>
    <mergeCell ref="E2:F2"/>
    <mergeCell ref="G2:H2"/>
    <mergeCell ref="I2:J2"/>
    <mergeCell ref="V2:W2"/>
    <mergeCell ref="X2:Y2"/>
    <mergeCell ref="T12:U12"/>
    <mergeCell ref="A48:D48"/>
    <mergeCell ref="K2:L2"/>
    <mergeCell ref="T2:U2"/>
    <mergeCell ref="Q2:R2"/>
    <mergeCell ref="M2:N2"/>
    <mergeCell ref="O2:P2"/>
    <mergeCell ref="T28:T30"/>
    <mergeCell ref="T31:T33"/>
    <mergeCell ref="T7:AA7"/>
    <mergeCell ref="H13:H14"/>
    <mergeCell ref="I13:K13"/>
    <mergeCell ref="T19:T21"/>
    <mergeCell ref="T22:T24"/>
    <mergeCell ref="T25:T27"/>
    <mergeCell ref="A168:B168"/>
    <mergeCell ref="A156:B156"/>
    <mergeCell ref="A159:B159"/>
    <mergeCell ref="A160:B160"/>
    <mergeCell ref="A161:B161"/>
    <mergeCell ref="A158:B158"/>
    <mergeCell ref="A164:B164"/>
    <mergeCell ref="A165:B165"/>
    <mergeCell ref="A155:B155"/>
    <mergeCell ref="A162:B162"/>
    <mergeCell ref="A180:B180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78:B78"/>
    <mergeCell ref="A79:B79"/>
    <mergeCell ref="A80:B80"/>
    <mergeCell ref="A81:B81"/>
    <mergeCell ref="A94:B94"/>
    <mergeCell ref="A95:B95"/>
    <mergeCell ref="A96:B96"/>
    <mergeCell ref="A166:B166"/>
    <mergeCell ref="A167:B167"/>
    <mergeCell ref="A163:B163"/>
    <mergeCell ref="A130:B130"/>
    <mergeCell ref="A131:B131"/>
    <mergeCell ref="A132:B132"/>
    <mergeCell ref="A144:B144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00:B100"/>
    <mergeCell ref="A99:B99"/>
    <mergeCell ref="A89:B89"/>
    <mergeCell ref="A90:B90"/>
    <mergeCell ref="A91:B91"/>
    <mergeCell ref="A92:B92"/>
    <mergeCell ref="A67:B67"/>
    <mergeCell ref="A86:B86"/>
    <mergeCell ref="A68:B68"/>
    <mergeCell ref="A69:B69"/>
    <mergeCell ref="A70:B70"/>
    <mergeCell ref="A71:B71"/>
    <mergeCell ref="A72:B72"/>
    <mergeCell ref="A87:B87"/>
    <mergeCell ref="A88:B88"/>
    <mergeCell ref="A82:B82"/>
    <mergeCell ref="A83:B83"/>
    <mergeCell ref="A84:B84"/>
    <mergeCell ref="A85:B85"/>
    <mergeCell ref="A73:B73"/>
    <mergeCell ref="A74:B74"/>
    <mergeCell ref="A75:B75"/>
    <mergeCell ref="A76:B76"/>
    <mergeCell ref="A77:B77"/>
    <mergeCell ref="A118:B118"/>
    <mergeCell ref="A119:B119"/>
    <mergeCell ref="A120:B120"/>
    <mergeCell ref="A146:B146"/>
    <mergeCell ref="A157:B157"/>
    <mergeCell ref="A103:B103"/>
    <mergeCell ref="A102:B102"/>
    <mergeCell ref="A101:B101"/>
    <mergeCell ref="A116:B116"/>
    <mergeCell ref="A115:B115"/>
    <mergeCell ref="A108:B108"/>
    <mergeCell ref="A109:B109"/>
    <mergeCell ref="A110:B110"/>
    <mergeCell ref="A111:B111"/>
    <mergeCell ref="A112:B112"/>
    <mergeCell ref="A113:B113"/>
    <mergeCell ref="A114:B114"/>
    <mergeCell ref="A143:B143"/>
    <mergeCell ref="A150:B150"/>
    <mergeCell ref="A151:B151"/>
    <mergeCell ref="A152:B152"/>
    <mergeCell ref="A153:B153"/>
    <mergeCell ref="A154:B154"/>
    <mergeCell ref="A145:B145"/>
  </mergeCells>
  <phoneticPr fontId="2" type="noConversion"/>
  <conditionalFormatting sqref="K11:K12">
    <cfRule type="expression" dxfId="905" priority="2">
      <formula>"&gt;=200"</formula>
    </cfRule>
  </conditionalFormatting>
  <conditionalFormatting sqref="Q3:Q10">
    <cfRule type="expression" dxfId="904" priority="1">
      <formula>"&gt;=200"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Q39"/>
  <sheetViews>
    <sheetView zoomScaleNormal="100" workbookViewId="0">
      <selection activeCell="E23" sqref="E23"/>
    </sheetView>
  </sheetViews>
  <sheetFormatPr defaultRowHeight="16.5"/>
  <cols>
    <col min="1" max="1" width="8.625" bestFit="1" customWidth="1"/>
    <col min="2" max="2" width="12.375" bestFit="1" customWidth="1"/>
    <col min="3" max="3" width="25.5" bestFit="1" customWidth="1"/>
    <col min="4" max="4" width="15.375" bestFit="1" customWidth="1"/>
    <col min="5" max="5" width="26.625" customWidth="1"/>
    <col min="6" max="6" width="10.5" bestFit="1" customWidth="1"/>
    <col min="7" max="7" width="18.625" bestFit="1" customWidth="1"/>
    <col min="12" max="12" width="10.625" bestFit="1" customWidth="1"/>
    <col min="15" max="15" width="21" bestFit="1" customWidth="1"/>
    <col min="16" max="16" width="8.625" bestFit="1" customWidth="1"/>
  </cols>
  <sheetData>
    <row r="2" spans="1:17">
      <c r="A2" s="106" t="s">
        <v>133</v>
      </c>
      <c r="B2" s="107" t="s">
        <v>134</v>
      </c>
      <c r="C2" s="107" t="s">
        <v>135</v>
      </c>
      <c r="D2" s="106" t="s">
        <v>246</v>
      </c>
    </row>
    <row r="3" spans="1:17">
      <c r="A3" s="108" t="s">
        <v>139</v>
      </c>
      <c r="B3" s="110">
        <v>28</v>
      </c>
      <c r="C3" s="109" t="s">
        <v>394</v>
      </c>
      <c r="D3" s="243" t="s">
        <v>501</v>
      </c>
    </row>
    <row r="4" spans="1:17">
      <c r="A4" s="108" t="s">
        <v>139</v>
      </c>
      <c r="B4" s="110">
        <v>34</v>
      </c>
      <c r="C4" s="109" t="s">
        <v>213</v>
      </c>
      <c r="D4" s="243" t="s">
        <v>510</v>
      </c>
      <c r="L4" s="244"/>
      <c r="M4" s="244"/>
      <c r="N4" s="245"/>
      <c r="O4" s="244"/>
      <c r="P4" s="244"/>
      <c r="Q4" s="246"/>
    </row>
    <row r="5" spans="1:17">
      <c r="A5" s="108" t="s">
        <v>139</v>
      </c>
      <c r="B5" s="111">
        <v>37</v>
      </c>
      <c r="C5" s="109" t="s">
        <v>214</v>
      </c>
      <c r="D5" s="243" t="s">
        <v>265</v>
      </c>
      <c r="L5" s="244"/>
      <c r="M5" s="244"/>
      <c r="N5" s="245"/>
      <c r="O5" s="244"/>
      <c r="P5" s="244"/>
      <c r="Q5" s="246"/>
    </row>
    <row r="6" spans="1:17">
      <c r="A6" s="108" t="s">
        <v>139</v>
      </c>
      <c r="B6" s="110">
        <v>35</v>
      </c>
      <c r="C6" s="109" t="s">
        <v>281</v>
      </c>
      <c r="D6" s="243" t="s">
        <v>505</v>
      </c>
      <c r="L6" s="247"/>
      <c r="M6" s="244"/>
      <c r="N6" s="248"/>
      <c r="O6" s="244"/>
      <c r="P6" s="244"/>
      <c r="Q6" s="246"/>
    </row>
    <row r="7" spans="1:17">
      <c r="A7" s="108" t="s">
        <v>139</v>
      </c>
      <c r="B7" s="110">
        <v>75</v>
      </c>
      <c r="C7" s="109" t="s">
        <v>244</v>
      </c>
      <c r="D7" s="243" t="s">
        <v>400</v>
      </c>
      <c r="L7" s="247"/>
      <c r="M7" s="244"/>
      <c r="N7" s="248"/>
      <c r="O7" s="244"/>
      <c r="P7" s="244"/>
      <c r="Q7" s="246"/>
    </row>
    <row r="8" spans="1:17">
      <c r="A8" s="108" t="s">
        <v>466</v>
      </c>
      <c r="B8" s="110">
        <v>73</v>
      </c>
      <c r="C8" s="109"/>
      <c r="D8" s="243" t="s">
        <v>467</v>
      </c>
      <c r="L8" s="247"/>
      <c r="M8" s="244"/>
      <c r="N8" s="248"/>
      <c r="O8" s="244"/>
      <c r="P8" s="244"/>
      <c r="Q8" s="246"/>
    </row>
    <row r="9" spans="1:17">
      <c r="A9" s="108" t="s">
        <v>136</v>
      </c>
      <c r="B9" s="111">
        <v>126</v>
      </c>
      <c r="C9" s="109" t="s">
        <v>282</v>
      </c>
      <c r="D9" s="243" t="s">
        <v>368</v>
      </c>
      <c r="L9" s="244"/>
      <c r="M9" s="244"/>
      <c r="N9" s="245"/>
      <c r="O9" s="244"/>
      <c r="P9" s="244"/>
      <c r="Q9" s="246"/>
    </row>
    <row r="10" spans="1:17">
      <c r="A10" s="108" t="s">
        <v>245</v>
      </c>
      <c r="B10" s="111">
        <v>125</v>
      </c>
      <c r="C10" s="109" t="s">
        <v>240</v>
      </c>
      <c r="D10" s="243" t="s">
        <v>295</v>
      </c>
      <c r="L10" s="244"/>
      <c r="M10" s="244"/>
      <c r="N10" s="248"/>
      <c r="O10" s="244"/>
      <c r="P10" s="244"/>
      <c r="Q10" s="246"/>
    </row>
    <row r="11" spans="1:17">
      <c r="A11" s="108" t="s">
        <v>136</v>
      </c>
      <c r="B11" s="111">
        <v>127</v>
      </c>
      <c r="C11" s="109" t="s">
        <v>409</v>
      </c>
      <c r="D11" s="243" t="s">
        <v>368</v>
      </c>
      <c r="L11" s="244"/>
      <c r="M11" s="244"/>
      <c r="N11" s="248"/>
      <c r="O11" s="244"/>
      <c r="P11" s="244"/>
      <c r="Q11" s="246"/>
    </row>
    <row r="12" spans="1:17">
      <c r="A12" s="108" t="s">
        <v>136</v>
      </c>
      <c r="B12" s="110">
        <v>128</v>
      </c>
      <c r="C12" s="109" t="s">
        <v>107</v>
      </c>
      <c r="D12" s="243" t="s">
        <v>271</v>
      </c>
      <c r="L12" s="244"/>
      <c r="M12" s="244"/>
      <c r="N12" s="245"/>
      <c r="O12" s="244"/>
      <c r="P12" s="244"/>
      <c r="Q12" s="246"/>
    </row>
    <row r="13" spans="1:17">
      <c r="A13" s="108" t="s">
        <v>136</v>
      </c>
      <c r="B13" s="111">
        <v>133</v>
      </c>
      <c r="C13" s="109" t="s">
        <v>395</v>
      </c>
      <c r="D13" s="243" t="s">
        <v>271</v>
      </c>
      <c r="J13" s="405"/>
      <c r="L13" s="247"/>
      <c r="M13" s="244"/>
      <c r="N13" s="248"/>
      <c r="O13" s="244"/>
      <c r="P13" s="244"/>
      <c r="Q13" s="246"/>
    </row>
    <row r="14" spans="1:17">
      <c r="A14" s="108" t="s">
        <v>137</v>
      </c>
      <c r="B14" s="110">
        <v>226</v>
      </c>
      <c r="C14" s="109" t="s">
        <v>138</v>
      </c>
      <c r="D14" s="243" t="s">
        <v>313</v>
      </c>
      <c r="J14" s="405"/>
      <c r="L14" s="244"/>
      <c r="M14" s="244"/>
      <c r="N14" s="245"/>
      <c r="O14" s="244"/>
      <c r="P14" s="244"/>
      <c r="Q14" s="246"/>
    </row>
    <row r="15" spans="1:17">
      <c r="A15" s="108" t="s">
        <v>137</v>
      </c>
      <c r="B15" s="110">
        <v>227</v>
      </c>
      <c r="C15" s="109" t="s">
        <v>243</v>
      </c>
      <c r="D15" s="243" t="s">
        <v>313</v>
      </c>
      <c r="L15" s="244"/>
      <c r="M15" s="244"/>
      <c r="N15" s="245"/>
      <c r="O15" s="244"/>
      <c r="P15" s="244"/>
      <c r="Q15" s="246"/>
    </row>
    <row r="16" spans="1:17">
      <c r="A16" s="108" t="s">
        <v>137</v>
      </c>
      <c r="B16" s="110">
        <v>229</v>
      </c>
      <c r="C16" s="109"/>
      <c r="D16" s="243" t="s">
        <v>297</v>
      </c>
      <c r="L16" s="244"/>
      <c r="M16" s="244"/>
      <c r="N16" s="245"/>
      <c r="O16" s="244"/>
      <c r="P16" s="244"/>
      <c r="Q16" s="246"/>
    </row>
    <row r="17" spans="1:17">
      <c r="A17" s="108" t="s">
        <v>137</v>
      </c>
      <c r="B17" s="110">
        <v>230</v>
      </c>
      <c r="C17" s="109" t="s">
        <v>338</v>
      </c>
      <c r="D17" s="243" t="s">
        <v>297</v>
      </c>
      <c r="L17" s="244"/>
      <c r="M17" s="244"/>
      <c r="N17" s="245"/>
      <c r="O17" s="244"/>
      <c r="P17" s="244"/>
      <c r="Q17" s="246"/>
    </row>
    <row r="18" spans="1:17">
      <c r="A18" s="108" t="s">
        <v>137</v>
      </c>
      <c r="B18" s="110">
        <v>231</v>
      </c>
      <c r="C18" s="109" t="s">
        <v>242</v>
      </c>
      <c r="D18" s="243" t="s">
        <v>296</v>
      </c>
      <c r="L18" s="244"/>
      <c r="M18" s="244"/>
      <c r="N18" s="245"/>
      <c r="O18" s="244"/>
      <c r="P18" s="244"/>
      <c r="Q18" s="246"/>
    </row>
    <row r="19" spans="1:17">
      <c r="A19" s="108" t="s">
        <v>137</v>
      </c>
      <c r="B19" s="110">
        <v>232</v>
      </c>
      <c r="C19" s="109" t="s">
        <v>337</v>
      </c>
      <c r="D19" s="243" t="s">
        <v>399</v>
      </c>
      <c r="L19" s="244"/>
      <c r="M19" s="244"/>
      <c r="N19" s="245"/>
      <c r="O19" s="244"/>
      <c r="P19" s="244"/>
      <c r="Q19" s="246"/>
    </row>
    <row r="20" spans="1:17">
      <c r="A20" s="108" t="s">
        <v>137</v>
      </c>
      <c r="B20" s="110">
        <v>234</v>
      </c>
      <c r="C20" s="215" t="s">
        <v>215</v>
      </c>
      <c r="D20" s="243" t="s">
        <v>265</v>
      </c>
      <c r="L20" s="244"/>
      <c r="M20" s="244"/>
      <c r="N20" s="245"/>
      <c r="O20" s="249"/>
      <c r="P20" s="244"/>
      <c r="Q20" s="246"/>
    </row>
    <row r="21" spans="1:17">
      <c r="A21" s="108" t="s">
        <v>137</v>
      </c>
      <c r="B21" s="110">
        <v>239</v>
      </c>
      <c r="C21" s="109" t="s">
        <v>216</v>
      </c>
      <c r="D21" s="243" t="s">
        <v>399</v>
      </c>
      <c r="L21" s="244"/>
      <c r="M21" s="244"/>
      <c r="N21" s="245"/>
      <c r="O21" s="244"/>
      <c r="P21" s="244"/>
      <c r="Q21" s="246"/>
    </row>
    <row r="22" spans="1:17">
      <c r="A22" s="108" t="s">
        <v>139</v>
      </c>
      <c r="B22" s="110">
        <v>311</v>
      </c>
      <c r="C22" s="109" t="s">
        <v>471</v>
      </c>
      <c r="D22" s="243" t="s">
        <v>472</v>
      </c>
      <c r="L22" s="244"/>
      <c r="M22" s="244"/>
      <c r="N22" s="245"/>
      <c r="O22" s="244"/>
      <c r="P22" s="244"/>
      <c r="Q22" s="246"/>
    </row>
    <row r="23" spans="1:17">
      <c r="L23" s="246"/>
      <c r="M23" s="246"/>
      <c r="N23" s="246"/>
      <c r="O23" s="246"/>
      <c r="P23" s="246"/>
      <c r="Q23" s="246"/>
    </row>
    <row r="24" spans="1:17">
      <c r="L24" s="246"/>
      <c r="M24" s="246"/>
      <c r="N24" s="246"/>
      <c r="O24" s="246"/>
      <c r="P24" s="246"/>
      <c r="Q24" s="246"/>
    </row>
    <row r="25" spans="1:17">
      <c r="L25" s="246"/>
      <c r="M25" s="246"/>
      <c r="N25" s="246"/>
      <c r="O25" s="246"/>
      <c r="P25" s="246"/>
      <c r="Q25" s="246"/>
    </row>
    <row r="26" spans="1:17">
      <c r="A26" s="243" t="s">
        <v>363</v>
      </c>
      <c r="B26" s="45" t="s">
        <v>366</v>
      </c>
      <c r="C26" s="45" t="s">
        <v>365</v>
      </c>
      <c r="D26" s="45"/>
      <c r="L26" s="246"/>
      <c r="M26" s="246"/>
      <c r="N26" s="246"/>
      <c r="O26" s="246"/>
      <c r="P26" s="246"/>
      <c r="Q26" s="246"/>
    </row>
    <row r="27" spans="1:17" hidden="1">
      <c r="A27" s="45">
        <v>3</v>
      </c>
      <c r="B27" s="45" t="s">
        <v>364</v>
      </c>
      <c r="C27" s="45" t="s">
        <v>375</v>
      </c>
      <c r="D27" s="45" t="s">
        <v>367</v>
      </c>
      <c r="L27" s="246"/>
      <c r="M27" s="246"/>
      <c r="N27" s="246"/>
      <c r="O27" s="246"/>
      <c r="P27" s="246"/>
      <c r="Q27" s="246"/>
    </row>
    <row r="28" spans="1:17">
      <c r="A28" s="45">
        <v>4</v>
      </c>
      <c r="B28" s="45" t="s">
        <v>502</v>
      </c>
      <c r="C28" s="45"/>
      <c r="D28" s="45"/>
      <c r="L28" s="246"/>
      <c r="M28" s="246"/>
      <c r="N28" s="246"/>
      <c r="O28" s="246"/>
      <c r="P28" s="246"/>
      <c r="Q28" s="246"/>
    </row>
    <row r="29" spans="1:17">
      <c r="A29" s="45">
        <v>5</v>
      </c>
      <c r="B29" s="45" t="s">
        <v>503</v>
      </c>
      <c r="C29" s="45" t="s">
        <v>500</v>
      </c>
      <c r="D29" s="45"/>
    </row>
    <row r="30" spans="1:17">
      <c r="A30" s="417" t="s">
        <v>410</v>
      </c>
      <c r="B30" s="45" t="s">
        <v>506</v>
      </c>
      <c r="C30" s="45" t="s">
        <v>504</v>
      </c>
      <c r="D30" s="45"/>
    </row>
    <row r="31" spans="1:17">
      <c r="A31" s="45">
        <v>7</v>
      </c>
      <c r="B31" s="45" t="s">
        <v>480</v>
      </c>
      <c r="C31" s="45" t="s">
        <v>484</v>
      </c>
      <c r="D31" s="45"/>
    </row>
    <row r="32" spans="1:17">
      <c r="A32" s="45">
        <v>8</v>
      </c>
      <c r="B32" s="45" t="s">
        <v>481</v>
      </c>
      <c r="C32" s="45" t="s">
        <v>484</v>
      </c>
      <c r="D32" s="45"/>
    </row>
    <row r="33" spans="1:4">
      <c r="A33" s="45">
        <v>9</v>
      </c>
      <c r="B33" s="45" t="s">
        <v>499</v>
      </c>
      <c r="C33" s="45" t="s">
        <v>362</v>
      </c>
      <c r="D33" s="45"/>
    </row>
    <row r="34" spans="1:4">
      <c r="A34" s="45">
        <v>10</v>
      </c>
      <c r="B34" s="45" t="s">
        <v>482</v>
      </c>
      <c r="C34" s="45" t="s">
        <v>411</v>
      </c>
      <c r="D34" s="45"/>
    </row>
    <row r="35" spans="1:4">
      <c r="A35" s="45">
        <v>11</v>
      </c>
      <c r="B35" s="45" t="s">
        <v>483</v>
      </c>
      <c r="C35" s="45" t="s">
        <v>411</v>
      </c>
      <c r="D35" s="45"/>
    </row>
    <row r="36" spans="1:4">
      <c r="A36" s="45">
        <v>12</v>
      </c>
      <c r="B36" s="45" t="s">
        <v>362</v>
      </c>
      <c r="C36" s="45" t="s">
        <v>412</v>
      </c>
      <c r="D36" s="45"/>
    </row>
    <row r="37" spans="1:4">
      <c r="A37" s="45">
        <v>1</v>
      </c>
      <c r="B37" s="45" t="s">
        <v>362</v>
      </c>
      <c r="C37" s="45" t="s">
        <v>411</v>
      </c>
      <c r="D37" s="45"/>
    </row>
    <row r="38" spans="1:4">
      <c r="A38" s="45">
        <v>2</v>
      </c>
      <c r="B38" s="45" t="s">
        <v>411</v>
      </c>
      <c r="C38" s="45" t="s">
        <v>411</v>
      </c>
      <c r="D38" s="45"/>
    </row>
    <row r="39" spans="1:4">
      <c r="A39" s="45">
        <v>3</v>
      </c>
      <c r="B39" s="45" t="s">
        <v>411</v>
      </c>
      <c r="C39" s="45" t="s">
        <v>411</v>
      </c>
      <c r="D39" s="4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2"/>
  <sheetViews>
    <sheetView zoomScale="75" zoomScaleNormal="75" workbookViewId="0">
      <selection activeCell="AA26" sqref="AA26"/>
    </sheetView>
  </sheetViews>
  <sheetFormatPr defaultColWidth="9" defaultRowHeight="16.5"/>
  <cols>
    <col min="1" max="1" width="9" style="213"/>
    <col min="2" max="16384" width="9" style="113"/>
  </cols>
  <sheetData>
    <row r="1" spans="1:8">
      <c r="A1" s="206"/>
      <c r="B1" s="207" t="s">
        <v>203</v>
      </c>
      <c r="C1" s="208" t="s">
        <v>204</v>
      </c>
      <c r="D1" s="208" t="s">
        <v>205</v>
      </c>
      <c r="E1" s="208" t="s">
        <v>206</v>
      </c>
      <c r="F1" s="208" t="s">
        <v>207</v>
      </c>
      <c r="G1" s="206"/>
      <c r="H1" s="206"/>
    </row>
    <row r="2" spans="1:8">
      <c r="A2" s="206"/>
      <c r="B2" s="209">
        <v>3000</v>
      </c>
      <c r="C2" s="210">
        <v>2500</v>
      </c>
      <c r="D2" s="210">
        <v>2000</v>
      </c>
      <c r="E2" s="210">
        <v>2500</v>
      </c>
      <c r="F2" s="210">
        <v>3</v>
      </c>
      <c r="G2" s="206"/>
      <c r="H2" s="206"/>
    </row>
    <row r="3" spans="1:8">
      <c r="A3" s="206"/>
      <c r="B3" s="210"/>
      <c r="C3" s="210"/>
      <c r="D3" s="210"/>
      <c r="E3" s="210"/>
      <c r="F3" s="210"/>
      <c r="G3" s="206"/>
      <c r="H3" s="206"/>
    </row>
    <row r="4" spans="1:8">
      <c r="A4" s="207" t="s">
        <v>208</v>
      </c>
      <c r="B4" s="211" t="s">
        <v>209</v>
      </c>
      <c r="C4" s="211" t="s">
        <v>204</v>
      </c>
      <c r="D4" s="211" t="s">
        <v>205</v>
      </c>
      <c r="E4" s="211" t="s">
        <v>206</v>
      </c>
      <c r="F4" s="211" t="s">
        <v>210</v>
      </c>
      <c r="G4" s="208" t="s">
        <v>211</v>
      </c>
      <c r="H4" s="206" t="s">
        <v>212</v>
      </c>
    </row>
    <row r="5" spans="1:8" hidden="1">
      <c r="A5" s="212">
        <v>1</v>
      </c>
      <c r="B5" s="210">
        <v>1</v>
      </c>
      <c r="C5" s="210">
        <v>1</v>
      </c>
      <c r="D5" s="210">
        <v>0</v>
      </c>
      <c r="E5" s="210">
        <v>0</v>
      </c>
      <c r="F5" s="210">
        <v>3000</v>
      </c>
      <c r="G5" s="210">
        <v>2500</v>
      </c>
      <c r="H5" s="206">
        <v>500</v>
      </c>
    </row>
    <row r="6" spans="1:8" hidden="1">
      <c r="A6" s="212">
        <v>2</v>
      </c>
      <c r="B6" s="210">
        <v>1</v>
      </c>
      <c r="C6" s="210">
        <v>2</v>
      </c>
      <c r="D6" s="210">
        <v>0</v>
      </c>
      <c r="E6" s="210">
        <v>0</v>
      </c>
      <c r="F6" s="210">
        <v>6000</v>
      </c>
      <c r="G6" s="210">
        <v>5000</v>
      </c>
      <c r="H6" s="206">
        <v>1000</v>
      </c>
    </row>
    <row r="7" spans="1:8" hidden="1">
      <c r="A7" s="212">
        <v>3</v>
      </c>
      <c r="B7" s="210">
        <v>1</v>
      </c>
      <c r="C7" s="210">
        <v>1</v>
      </c>
      <c r="D7" s="210">
        <v>2</v>
      </c>
      <c r="E7" s="210">
        <v>1</v>
      </c>
      <c r="F7" s="210">
        <v>9000</v>
      </c>
      <c r="G7" s="210">
        <v>9000</v>
      </c>
      <c r="H7" s="206">
        <v>0</v>
      </c>
    </row>
    <row r="8" spans="1:8" hidden="1">
      <c r="A8" s="212">
        <v>4</v>
      </c>
      <c r="B8" s="210">
        <v>2</v>
      </c>
      <c r="C8" s="210">
        <v>3</v>
      </c>
      <c r="D8" s="210">
        <v>1</v>
      </c>
      <c r="E8" s="210">
        <v>1</v>
      </c>
      <c r="F8" s="210">
        <v>12000</v>
      </c>
      <c r="G8" s="210">
        <v>12000</v>
      </c>
      <c r="H8" s="206">
        <v>0</v>
      </c>
    </row>
    <row r="9" spans="1:8" hidden="1">
      <c r="A9" s="212">
        <v>5</v>
      </c>
      <c r="B9" s="210">
        <v>2</v>
      </c>
      <c r="C9" s="210">
        <v>0</v>
      </c>
      <c r="D9" s="210">
        <v>5</v>
      </c>
      <c r="E9" s="210">
        <v>2</v>
      </c>
      <c r="F9" s="210">
        <v>15000</v>
      </c>
      <c r="G9" s="210">
        <v>15000</v>
      </c>
      <c r="H9" s="206">
        <v>0</v>
      </c>
    </row>
    <row r="10" spans="1:8" hidden="1">
      <c r="A10" s="212">
        <v>6</v>
      </c>
      <c r="B10" s="210">
        <v>2</v>
      </c>
      <c r="C10" s="210">
        <v>2</v>
      </c>
      <c r="D10" s="210">
        <v>4</v>
      </c>
      <c r="E10" s="210">
        <v>2</v>
      </c>
      <c r="F10" s="210">
        <v>18000</v>
      </c>
      <c r="G10" s="210">
        <v>18000</v>
      </c>
      <c r="H10" s="206">
        <v>0</v>
      </c>
    </row>
    <row r="11" spans="1:8" hidden="1">
      <c r="A11" s="212">
        <v>7</v>
      </c>
      <c r="B11" s="210">
        <v>3</v>
      </c>
      <c r="C11" s="210">
        <v>4</v>
      </c>
      <c r="D11" s="210">
        <v>3</v>
      </c>
      <c r="E11" s="210">
        <v>2</v>
      </c>
      <c r="F11" s="210">
        <v>21000</v>
      </c>
      <c r="G11" s="210">
        <v>21000</v>
      </c>
      <c r="H11" s="206">
        <v>0</v>
      </c>
    </row>
    <row r="12" spans="1:8" hidden="1">
      <c r="A12" s="212">
        <v>8</v>
      </c>
      <c r="B12" s="210">
        <v>3</v>
      </c>
      <c r="C12" s="210">
        <v>6</v>
      </c>
      <c r="D12" s="210">
        <v>2</v>
      </c>
      <c r="E12" s="210">
        <v>2</v>
      </c>
      <c r="F12" s="210">
        <v>24000</v>
      </c>
      <c r="G12" s="210">
        <v>24000</v>
      </c>
      <c r="H12" s="206">
        <v>0</v>
      </c>
    </row>
    <row r="13" spans="1:8">
      <c r="A13" s="212">
        <v>9</v>
      </c>
      <c r="B13" s="210">
        <v>3</v>
      </c>
      <c r="C13" s="210">
        <v>3</v>
      </c>
      <c r="D13" s="210">
        <v>6</v>
      </c>
      <c r="E13" s="210">
        <v>3</v>
      </c>
      <c r="F13" s="210">
        <v>27000</v>
      </c>
      <c r="G13" s="210">
        <v>27000</v>
      </c>
      <c r="H13" s="206">
        <v>0</v>
      </c>
    </row>
    <row r="14" spans="1:8">
      <c r="A14" s="212">
        <v>10</v>
      </c>
      <c r="B14" s="210">
        <v>4</v>
      </c>
      <c r="C14" s="210">
        <v>0</v>
      </c>
      <c r="D14" s="210">
        <v>10</v>
      </c>
      <c r="E14" s="210">
        <v>4</v>
      </c>
      <c r="F14" s="210">
        <v>30000</v>
      </c>
      <c r="G14" s="210">
        <v>30000</v>
      </c>
      <c r="H14" s="206">
        <v>0</v>
      </c>
    </row>
    <row r="15" spans="1:8">
      <c r="A15" s="212">
        <v>11</v>
      </c>
      <c r="B15" s="210">
        <v>4</v>
      </c>
      <c r="C15" s="210">
        <v>2</v>
      </c>
      <c r="D15" s="210">
        <v>9</v>
      </c>
      <c r="E15" s="210">
        <v>4</v>
      </c>
      <c r="F15" s="210">
        <v>33000</v>
      </c>
      <c r="G15" s="210">
        <v>33000</v>
      </c>
      <c r="H15" s="206">
        <v>0</v>
      </c>
    </row>
    <row r="16" spans="1:8">
      <c r="A16" s="212">
        <v>12</v>
      </c>
      <c r="B16" s="210">
        <v>4</v>
      </c>
      <c r="C16" s="210">
        <v>4</v>
      </c>
      <c r="D16" s="210">
        <v>8</v>
      </c>
      <c r="E16" s="210">
        <v>4</v>
      </c>
      <c r="F16" s="210">
        <v>36000</v>
      </c>
      <c r="G16" s="210">
        <v>36000</v>
      </c>
      <c r="H16" s="206">
        <v>0</v>
      </c>
    </row>
    <row r="17" spans="1:8">
      <c r="A17" s="212">
        <v>13</v>
      </c>
      <c r="B17" s="210">
        <v>5</v>
      </c>
      <c r="C17" s="210">
        <v>1</v>
      </c>
      <c r="D17" s="210">
        <v>12</v>
      </c>
      <c r="E17" s="210">
        <v>5</v>
      </c>
      <c r="F17" s="210">
        <v>39000</v>
      </c>
      <c r="G17" s="210">
        <v>39000</v>
      </c>
      <c r="H17" s="206">
        <v>0</v>
      </c>
    </row>
    <row r="18" spans="1:8">
      <c r="A18" s="212">
        <v>14</v>
      </c>
      <c r="B18" s="210">
        <v>5</v>
      </c>
      <c r="C18" s="210">
        <v>3</v>
      </c>
      <c r="D18" s="210">
        <v>11</v>
      </c>
      <c r="E18" s="210">
        <v>5</v>
      </c>
      <c r="F18" s="210">
        <v>42000</v>
      </c>
      <c r="G18" s="210">
        <v>42000</v>
      </c>
      <c r="H18" s="206">
        <v>0</v>
      </c>
    </row>
    <row r="19" spans="1:8">
      <c r="A19" s="212">
        <v>15</v>
      </c>
      <c r="B19" s="210">
        <v>5</v>
      </c>
      <c r="C19" s="210">
        <v>5</v>
      </c>
      <c r="D19" s="210">
        <v>10</v>
      </c>
      <c r="E19" s="210">
        <v>5</v>
      </c>
      <c r="F19" s="210">
        <v>45000</v>
      </c>
      <c r="G19" s="210">
        <v>45000</v>
      </c>
      <c r="H19" s="206">
        <v>0</v>
      </c>
    </row>
    <row r="20" spans="1:8">
      <c r="A20" s="212">
        <v>16</v>
      </c>
      <c r="B20" s="210">
        <v>6</v>
      </c>
      <c r="C20" s="210">
        <v>2</v>
      </c>
      <c r="D20" s="210">
        <v>14</v>
      </c>
      <c r="E20" s="210">
        <v>6</v>
      </c>
      <c r="F20" s="210">
        <v>48000</v>
      </c>
      <c r="G20" s="210">
        <v>48000</v>
      </c>
      <c r="H20" s="206">
        <v>0</v>
      </c>
    </row>
    <row r="21" spans="1:8">
      <c r="A21" s="212">
        <v>17</v>
      </c>
      <c r="B21" s="210">
        <v>6</v>
      </c>
      <c r="C21" s="210">
        <v>4</v>
      </c>
      <c r="D21" s="210">
        <v>13</v>
      </c>
      <c r="E21" s="210">
        <v>6</v>
      </c>
      <c r="F21" s="210">
        <v>51000</v>
      </c>
      <c r="G21" s="210">
        <v>51000</v>
      </c>
      <c r="H21" s="206">
        <v>0</v>
      </c>
    </row>
    <row r="22" spans="1:8">
      <c r="A22" s="212">
        <v>18</v>
      </c>
      <c r="B22" s="210">
        <v>6</v>
      </c>
      <c r="C22" s="210">
        <v>6</v>
      </c>
      <c r="D22" s="210">
        <v>12</v>
      </c>
      <c r="E22" s="210">
        <v>6</v>
      </c>
      <c r="F22" s="210">
        <v>54000</v>
      </c>
      <c r="G22" s="210">
        <v>54000</v>
      </c>
      <c r="H22" s="206">
        <v>0</v>
      </c>
    </row>
    <row r="23" spans="1:8">
      <c r="A23" s="212">
        <v>19</v>
      </c>
      <c r="B23" s="210">
        <v>7</v>
      </c>
      <c r="C23" s="210">
        <v>3</v>
      </c>
      <c r="D23" s="210">
        <v>16</v>
      </c>
      <c r="E23" s="210">
        <v>7</v>
      </c>
      <c r="F23" s="210">
        <v>57000</v>
      </c>
      <c r="G23" s="210">
        <v>57000</v>
      </c>
      <c r="H23" s="206">
        <v>0</v>
      </c>
    </row>
    <row r="24" spans="1:8">
      <c r="A24" s="212">
        <v>20</v>
      </c>
      <c r="B24" s="210">
        <v>7</v>
      </c>
      <c r="C24" s="210">
        <v>5</v>
      </c>
      <c r="D24" s="210">
        <v>15</v>
      </c>
      <c r="E24" s="210">
        <v>7</v>
      </c>
      <c r="F24" s="210">
        <v>60000</v>
      </c>
      <c r="G24" s="210">
        <v>60000</v>
      </c>
      <c r="H24" s="206">
        <v>0</v>
      </c>
    </row>
    <row r="25" spans="1:8">
      <c r="A25" s="212">
        <v>21</v>
      </c>
      <c r="B25" s="210">
        <v>7</v>
      </c>
      <c r="C25" s="210">
        <v>7</v>
      </c>
      <c r="D25" s="210">
        <v>14</v>
      </c>
      <c r="E25" s="210">
        <v>7</v>
      </c>
      <c r="F25" s="210">
        <v>63000</v>
      </c>
      <c r="G25" s="210">
        <v>63000</v>
      </c>
      <c r="H25" s="206">
        <v>0</v>
      </c>
    </row>
    <row r="26" spans="1:8">
      <c r="A26" s="212">
        <v>22</v>
      </c>
      <c r="B26" s="210">
        <v>8</v>
      </c>
      <c r="C26" s="210">
        <v>4</v>
      </c>
      <c r="D26" s="210">
        <v>18</v>
      </c>
      <c r="E26" s="210">
        <v>8</v>
      </c>
      <c r="F26" s="210">
        <v>66000</v>
      </c>
      <c r="G26" s="210">
        <v>66000</v>
      </c>
      <c r="H26" s="206">
        <v>0</v>
      </c>
    </row>
    <row r="27" spans="1:8">
      <c r="A27" s="212">
        <v>23</v>
      </c>
      <c r="B27" s="210">
        <v>8</v>
      </c>
      <c r="C27" s="210">
        <v>6</v>
      </c>
      <c r="D27" s="210">
        <v>17</v>
      </c>
      <c r="E27" s="210">
        <v>8</v>
      </c>
      <c r="F27" s="210">
        <v>69000</v>
      </c>
      <c r="G27" s="210">
        <v>69000</v>
      </c>
      <c r="H27" s="206">
        <v>0</v>
      </c>
    </row>
    <row r="28" spans="1:8">
      <c r="A28" s="212">
        <v>24</v>
      </c>
      <c r="B28" s="210">
        <v>8</v>
      </c>
      <c r="C28" s="210">
        <v>8</v>
      </c>
      <c r="D28" s="210">
        <v>16</v>
      </c>
      <c r="E28" s="210">
        <v>8</v>
      </c>
      <c r="F28" s="210">
        <v>72000</v>
      </c>
      <c r="G28" s="210">
        <v>72000</v>
      </c>
      <c r="H28" s="206">
        <v>0</v>
      </c>
    </row>
    <row r="29" spans="1:8">
      <c r="A29" s="212">
        <v>25</v>
      </c>
      <c r="B29" s="210">
        <v>9</v>
      </c>
      <c r="C29" s="210">
        <v>5</v>
      </c>
      <c r="D29" s="210">
        <v>20</v>
      </c>
      <c r="E29" s="210">
        <v>9</v>
      </c>
      <c r="F29" s="210">
        <v>75000</v>
      </c>
      <c r="G29" s="210">
        <v>75000</v>
      </c>
      <c r="H29" s="206">
        <v>0</v>
      </c>
    </row>
    <row r="30" spans="1:8">
      <c r="A30" s="212">
        <v>26</v>
      </c>
      <c r="B30" s="210">
        <v>9</v>
      </c>
      <c r="C30" s="210">
        <v>7</v>
      </c>
      <c r="D30" s="210">
        <v>19</v>
      </c>
      <c r="E30" s="210">
        <v>9</v>
      </c>
      <c r="F30" s="210">
        <v>78000</v>
      </c>
      <c r="G30" s="210">
        <v>78000</v>
      </c>
      <c r="H30" s="206">
        <v>0</v>
      </c>
    </row>
    <row r="31" spans="1:8">
      <c r="A31" s="212">
        <v>27</v>
      </c>
      <c r="B31" s="210">
        <v>9</v>
      </c>
      <c r="C31" s="210">
        <v>9</v>
      </c>
      <c r="D31" s="210">
        <v>18</v>
      </c>
      <c r="E31" s="210">
        <v>9</v>
      </c>
      <c r="F31" s="210">
        <v>81000</v>
      </c>
      <c r="G31" s="210">
        <v>81000</v>
      </c>
      <c r="H31" s="206">
        <v>0</v>
      </c>
    </row>
    <row r="32" spans="1:8">
      <c r="A32" s="212">
        <v>28</v>
      </c>
      <c r="B32" s="210">
        <v>10</v>
      </c>
      <c r="C32" s="210">
        <v>6</v>
      </c>
      <c r="D32" s="210">
        <v>22</v>
      </c>
      <c r="E32" s="210">
        <v>10</v>
      </c>
      <c r="F32" s="210">
        <v>84000</v>
      </c>
      <c r="G32" s="210">
        <v>84000</v>
      </c>
      <c r="H32" s="20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0.59999389629810485"/>
  </sheetPr>
  <dimension ref="A1:OV66"/>
  <sheetViews>
    <sheetView zoomScale="75" zoomScaleNormal="75" workbookViewId="0">
      <pane xSplit="95" topLeftCell="NW1" activePane="topRight" state="frozen"/>
      <selection pane="topRight" activeCell="OF45" sqref="OF45"/>
    </sheetView>
  </sheetViews>
  <sheetFormatPr defaultColWidth="9" defaultRowHeight="16.5" outlineLevelCol="1"/>
  <cols>
    <col min="1" max="1" width="9.875" style="12" bestFit="1" customWidth="1"/>
    <col min="2" max="2" width="11" style="12" bestFit="1" customWidth="1"/>
    <col min="3" max="11" width="10" style="6" hidden="1" customWidth="1" outlineLevel="1"/>
    <col min="12" max="90" width="10" style="12" hidden="1" customWidth="1" outlineLevel="1"/>
    <col min="91" max="91" width="10" style="12" hidden="1" customWidth="1" outlineLevel="1" collapsed="1"/>
    <col min="92" max="94" width="10" style="12" hidden="1" customWidth="1" outlineLevel="1"/>
    <col min="95" max="95" width="11.375" style="12" hidden="1" customWidth="1" outlineLevel="1"/>
    <col min="96" max="96" width="9.125" style="12" customWidth="1" collapsed="1"/>
    <col min="97" max="256" width="9.125" style="12" hidden="1" customWidth="1" outlineLevel="1"/>
    <col min="257" max="257" width="9.125" style="12" customWidth="1" collapsed="1"/>
    <col min="258" max="282" width="9.125" style="12" hidden="1" customWidth="1" outlineLevel="1"/>
    <col min="283" max="283" width="9.125" style="12" hidden="1" customWidth="1" outlineLevel="1" collapsed="1"/>
    <col min="284" max="291" width="9.125" style="12" hidden="1" customWidth="1" outlineLevel="1"/>
    <col min="292" max="292" width="9.125" style="12" hidden="1" customWidth="1" outlineLevel="1" collapsed="1"/>
    <col min="293" max="300" width="9.125" style="12" hidden="1" customWidth="1" outlineLevel="1"/>
    <col min="301" max="301" width="9.125" style="12" hidden="1" customWidth="1" outlineLevel="1" collapsed="1"/>
    <col min="302" max="303" width="9.125" style="12" hidden="1" customWidth="1" outlineLevel="1"/>
    <col min="304" max="304" width="9.125" style="12" hidden="1" customWidth="1" outlineLevel="1" collapsed="1"/>
    <col min="305" max="306" width="9.125" style="12" hidden="1" customWidth="1" outlineLevel="1"/>
    <col min="307" max="307" width="9.125" style="12" hidden="1" customWidth="1" outlineLevel="1" collapsed="1"/>
    <col min="308" max="309" width="9.125" style="12" hidden="1" customWidth="1" outlineLevel="1"/>
    <col min="310" max="310" width="9.125" style="12" hidden="1" customWidth="1" outlineLevel="1" collapsed="1"/>
    <col min="311" max="312" width="9.125" style="12" hidden="1" customWidth="1" outlineLevel="1"/>
    <col min="313" max="313" width="9.125" style="12" hidden="1" customWidth="1" outlineLevel="1" collapsed="1"/>
    <col min="314" max="315" width="9.125" style="12" hidden="1" customWidth="1" outlineLevel="1"/>
    <col min="316" max="316" width="9.125" style="12" hidden="1" customWidth="1" outlineLevel="1" collapsed="1"/>
    <col min="317" max="318" width="9.125" style="12" hidden="1" customWidth="1" outlineLevel="1"/>
    <col min="319" max="319" width="9.125" style="12" hidden="1" customWidth="1" outlineLevel="1" collapsed="1"/>
    <col min="320" max="321" width="9.125" style="12" hidden="1" customWidth="1" outlineLevel="1"/>
    <col min="322" max="322" width="9.125" style="12" hidden="1" customWidth="1" outlineLevel="1" collapsed="1"/>
    <col min="323" max="324" width="9.125" style="12" hidden="1" customWidth="1" outlineLevel="1"/>
    <col min="325" max="325" width="9.125" style="12" hidden="1" customWidth="1" outlineLevel="1" collapsed="1"/>
    <col min="326" max="327" width="9.125" style="12" hidden="1" customWidth="1" outlineLevel="1"/>
    <col min="328" max="328" width="9.125" style="12" hidden="1" customWidth="1" outlineLevel="1" collapsed="1"/>
    <col min="329" max="330" width="9.125" style="12" hidden="1" customWidth="1" outlineLevel="1"/>
    <col min="331" max="331" width="9.125" style="12" hidden="1" customWidth="1" outlineLevel="1" collapsed="1"/>
    <col min="332" max="333" width="9.125" style="12" hidden="1" customWidth="1" outlineLevel="1"/>
    <col min="334" max="334" width="9.125" style="12" hidden="1" customWidth="1" outlineLevel="1" collapsed="1"/>
    <col min="335" max="336" width="9.125" style="12" hidden="1" customWidth="1" outlineLevel="1"/>
    <col min="337" max="337" width="9.125" style="12" hidden="1" customWidth="1" outlineLevel="1" collapsed="1"/>
    <col min="338" max="339" width="9.125" style="12" hidden="1" customWidth="1" outlineLevel="1"/>
    <col min="340" max="340" width="9.125" style="12" hidden="1" customWidth="1" outlineLevel="1" collapsed="1"/>
    <col min="341" max="342" width="9.125" style="12" hidden="1" customWidth="1" outlineLevel="1"/>
    <col min="343" max="343" width="9.125" style="12" hidden="1" customWidth="1" outlineLevel="1" collapsed="1"/>
    <col min="344" max="345" width="9.125" style="12" hidden="1" customWidth="1" outlineLevel="1"/>
    <col min="346" max="346" width="9.125" style="12" hidden="1" customWidth="1" outlineLevel="1" collapsed="1"/>
    <col min="347" max="348" width="9.125" style="12" hidden="1" customWidth="1" outlineLevel="1"/>
    <col min="349" max="349" width="9.125" style="12" hidden="1" customWidth="1" outlineLevel="1" collapsed="1"/>
    <col min="350" max="351" width="9.125" style="12" hidden="1" customWidth="1" outlineLevel="1"/>
    <col min="352" max="352" width="9.125" style="12" hidden="1" customWidth="1" outlineLevel="1" collapsed="1"/>
    <col min="353" max="354" width="9.125" style="12" hidden="1" customWidth="1" outlineLevel="1"/>
    <col min="355" max="355" width="9.125" style="12" customWidth="1" collapsed="1"/>
    <col min="356" max="356" width="9.125" style="12" hidden="1" customWidth="1" outlineLevel="1"/>
    <col min="357" max="359" width="14" style="12" hidden="1" customWidth="1" outlineLevel="1"/>
    <col min="360" max="360" width="14" style="12" customWidth="1" collapsed="1"/>
    <col min="361" max="399" width="14" style="12" customWidth="1"/>
    <col min="400" max="400" width="9.875" style="12" hidden="1" customWidth="1" outlineLevel="1"/>
    <col min="401" max="401" width="10" style="37" customWidth="1" collapsed="1"/>
    <col min="402" max="402" width="13.5" style="7" bestFit="1" customWidth="1"/>
    <col min="403" max="403" width="13.125" style="7" bestFit="1" customWidth="1"/>
    <col min="404" max="404" width="13.125" style="7" customWidth="1"/>
    <col min="405" max="405" width="12.5" style="7" bestFit="1" customWidth="1"/>
    <col min="406" max="406" width="10.75" style="7" bestFit="1" customWidth="1"/>
    <col min="407" max="16384" width="9" style="6"/>
  </cols>
  <sheetData>
    <row r="1" spans="1:412">
      <c r="A1" s="1"/>
      <c r="B1" s="1"/>
      <c r="C1" s="508">
        <v>44714</v>
      </c>
      <c r="D1" s="508"/>
      <c r="E1" s="508"/>
      <c r="F1" s="508">
        <v>44715</v>
      </c>
      <c r="G1" s="509"/>
      <c r="H1" s="509"/>
      <c r="I1" s="508">
        <v>44716</v>
      </c>
      <c r="J1" s="509"/>
      <c r="K1" s="509"/>
      <c r="L1" s="508">
        <v>44743</v>
      </c>
      <c r="M1" s="509"/>
      <c r="N1" s="509"/>
      <c r="O1" s="508">
        <v>44744</v>
      </c>
      <c r="P1" s="509"/>
      <c r="Q1" s="509"/>
      <c r="R1" s="508">
        <v>44745</v>
      </c>
      <c r="S1" s="509"/>
      <c r="T1" s="509"/>
      <c r="U1" s="508">
        <v>44746</v>
      </c>
      <c r="V1" s="509"/>
      <c r="W1" s="509"/>
      <c r="X1" s="508">
        <v>44774</v>
      </c>
      <c r="Y1" s="509"/>
      <c r="Z1" s="509"/>
      <c r="AA1" s="508">
        <v>44775</v>
      </c>
      <c r="AB1" s="509"/>
      <c r="AC1" s="509"/>
      <c r="AD1" s="508">
        <v>44776</v>
      </c>
      <c r="AE1" s="509"/>
      <c r="AF1" s="509"/>
      <c r="AG1" s="508">
        <v>44777</v>
      </c>
      <c r="AH1" s="509"/>
      <c r="AI1" s="509"/>
      <c r="AJ1" s="508">
        <v>44805</v>
      </c>
      <c r="AK1" s="509"/>
      <c r="AL1" s="509"/>
      <c r="AM1" s="508">
        <v>44806</v>
      </c>
      <c r="AN1" s="509"/>
      <c r="AO1" s="509"/>
      <c r="AP1" s="509"/>
      <c r="AQ1" s="499">
        <v>44807</v>
      </c>
      <c r="AR1" s="503"/>
      <c r="AS1" s="499">
        <v>44808</v>
      </c>
      <c r="AT1" s="504"/>
      <c r="AU1" s="503"/>
      <c r="AV1" s="499">
        <v>44835</v>
      </c>
      <c r="AW1" s="504"/>
      <c r="AX1" s="504"/>
      <c r="AY1" s="503"/>
      <c r="AZ1" s="499">
        <v>44836</v>
      </c>
      <c r="BA1" s="504"/>
      <c r="BB1" s="504"/>
      <c r="BC1" s="504"/>
      <c r="BD1" s="503"/>
      <c r="BE1" s="499">
        <v>44837</v>
      </c>
      <c r="BF1" s="504"/>
      <c r="BG1" s="503"/>
      <c r="BH1" s="499">
        <v>44838</v>
      </c>
      <c r="BI1" s="504"/>
      <c r="BJ1" s="504"/>
      <c r="BK1" s="503"/>
      <c r="BL1" s="499">
        <v>44866</v>
      </c>
      <c r="BM1" s="504"/>
      <c r="BN1" s="504"/>
      <c r="BO1" s="504"/>
      <c r="BP1" s="503"/>
      <c r="BQ1" s="499">
        <v>44867</v>
      </c>
      <c r="BR1" s="504"/>
      <c r="BS1" s="503"/>
      <c r="BT1" s="499">
        <v>44868</v>
      </c>
      <c r="BU1" s="504"/>
      <c r="BV1" s="503"/>
      <c r="BW1" s="499">
        <v>44869</v>
      </c>
      <c r="BX1" s="504"/>
      <c r="BY1" s="504"/>
      <c r="BZ1" s="504"/>
      <c r="CA1" s="504"/>
      <c r="CB1" s="504"/>
      <c r="CC1" s="503"/>
      <c r="CD1" s="499">
        <v>44896</v>
      </c>
      <c r="CE1" s="504"/>
      <c r="CF1" s="504"/>
      <c r="CG1" s="503"/>
      <c r="CH1" s="499">
        <v>44897</v>
      </c>
      <c r="CI1" s="504"/>
      <c r="CJ1" s="503"/>
      <c r="CK1" s="502" t="s">
        <v>2</v>
      </c>
      <c r="CL1" s="503"/>
      <c r="CM1" s="499">
        <v>44899</v>
      </c>
      <c r="CN1" s="510"/>
      <c r="CO1" s="510"/>
      <c r="CP1" s="504"/>
      <c r="CQ1" s="503"/>
      <c r="CR1" s="296">
        <v>2022</v>
      </c>
      <c r="CS1" s="499">
        <v>44927</v>
      </c>
      <c r="CT1" s="504"/>
      <c r="CU1" s="504"/>
      <c r="CV1" s="504"/>
      <c r="CW1" s="504"/>
      <c r="CX1" s="504"/>
      <c r="CY1" s="504"/>
      <c r="CZ1" s="504"/>
      <c r="DA1" s="504"/>
      <c r="DB1" s="504"/>
      <c r="DC1" s="504"/>
      <c r="DD1" s="503"/>
      <c r="DE1" s="499">
        <v>44928</v>
      </c>
      <c r="DF1" s="504"/>
      <c r="DG1" s="503"/>
      <c r="DH1" s="502" t="s">
        <v>1</v>
      </c>
      <c r="DI1" s="504"/>
      <c r="DJ1" s="503"/>
      <c r="DK1" s="499">
        <v>44930</v>
      </c>
      <c r="DL1" s="504"/>
      <c r="DM1" s="504"/>
      <c r="DN1" s="503"/>
      <c r="DO1" s="499">
        <v>44958</v>
      </c>
      <c r="DP1" s="510"/>
      <c r="DQ1" s="510"/>
      <c r="DR1" s="510"/>
      <c r="DS1" s="510"/>
      <c r="DT1" s="511"/>
      <c r="DU1" s="499">
        <v>44959</v>
      </c>
      <c r="DV1" s="504"/>
      <c r="DW1" s="503"/>
      <c r="DX1" s="499" t="s">
        <v>0</v>
      </c>
      <c r="DY1" s="504"/>
      <c r="DZ1" s="503"/>
      <c r="EA1" s="499">
        <v>44961</v>
      </c>
      <c r="EB1" s="504"/>
      <c r="EC1" s="503"/>
      <c r="ED1" s="499">
        <v>44986</v>
      </c>
      <c r="EE1" s="504"/>
      <c r="EF1" s="504"/>
      <c r="EG1" s="504"/>
      <c r="EH1" s="503"/>
      <c r="EI1" s="499">
        <v>44987</v>
      </c>
      <c r="EJ1" s="504"/>
      <c r="EK1" s="504"/>
      <c r="EL1" s="503"/>
      <c r="EM1" s="499">
        <v>44988</v>
      </c>
      <c r="EN1" s="503"/>
      <c r="EO1" s="499">
        <v>44989</v>
      </c>
      <c r="EP1" s="504"/>
      <c r="EQ1" s="504"/>
      <c r="ER1" s="503"/>
      <c r="ES1" s="499">
        <v>45017</v>
      </c>
      <c r="ET1" s="504"/>
      <c r="EU1" s="504"/>
      <c r="EV1" s="504"/>
      <c r="EW1" s="504"/>
      <c r="EX1" s="504"/>
      <c r="EY1" s="504"/>
      <c r="EZ1" s="504"/>
      <c r="FA1" s="503"/>
      <c r="FB1" s="499">
        <v>45018</v>
      </c>
      <c r="FC1" s="504"/>
      <c r="FD1" s="503"/>
      <c r="FE1" s="499">
        <v>45019</v>
      </c>
      <c r="FF1" s="504"/>
      <c r="FG1" s="503"/>
      <c r="FH1" s="499">
        <v>45020</v>
      </c>
      <c r="FI1" s="504"/>
      <c r="FJ1" s="503"/>
      <c r="FK1" s="499">
        <v>45047</v>
      </c>
      <c r="FL1" s="504"/>
      <c r="FM1" s="503"/>
      <c r="FN1" s="499">
        <v>45048</v>
      </c>
      <c r="FO1" s="504"/>
      <c r="FP1" s="503"/>
      <c r="FQ1" s="499">
        <v>45049</v>
      </c>
      <c r="FR1" s="503"/>
      <c r="FS1" s="499">
        <v>45050</v>
      </c>
      <c r="FT1" s="504"/>
      <c r="FU1" s="503"/>
      <c r="FV1" s="499">
        <v>45078</v>
      </c>
      <c r="FW1" s="504"/>
      <c r="FX1" s="503"/>
      <c r="FY1" s="499">
        <v>45079</v>
      </c>
      <c r="FZ1" s="504"/>
      <c r="GA1" s="504"/>
      <c r="GB1" s="503"/>
      <c r="GC1" s="499">
        <v>45080</v>
      </c>
      <c r="GD1" s="504"/>
      <c r="GE1" s="503"/>
      <c r="GF1" s="505">
        <v>45081</v>
      </c>
      <c r="GG1" s="506"/>
      <c r="GH1" s="507"/>
      <c r="GI1" s="505">
        <v>45108</v>
      </c>
      <c r="GJ1" s="506"/>
      <c r="GK1" s="507"/>
      <c r="GL1" s="505">
        <v>45109</v>
      </c>
      <c r="GM1" s="506"/>
      <c r="GN1" s="507"/>
      <c r="GO1" s="505">
        <v>45110</v>
      </c>
      <c r="GP1" s="506"/>
      <c r="GQ1" s="507"/>
      <c r="GR1" s="505">
        <v>45111</v>
      </c>
      <c r="GS1" s="506"/>
      <c r="GT1" s="507"/>
      <c r="GU1" s="499">
        <v>45139</v>
      </c>
      <c r="GV1" s="504"/>
      <c r="GW1" s="503"/>
      <c r="GX1" s="499">
        <v>45140</v>
      </c>
      <c r="GY1" s="504"/>
      <c r="GZ1" s="503"/>
      <c r="HA1" s="499">
        <v>45141</v>
      </c>
      <c r="HB1" s="504"/>
      <c r="HC1" s="503"/>
      <c r="HD1" s="499">
        <v>45142</v>
      </c>
      <c r="HE1" s="504"/>
      <c r="HF1" s="503"/>
      <c r="HG1" s="499">
        <v>45170</v>
      </c>
      <c r="HH1" s="504"/>
      <c r="HI1" s="503"/>
      <c r="HJ1" s="499">
        <v>45171</v>
      </c>
      <c r="HK1" s="504"/>
      <c r="HL1" s="503"/>
      <c r="HM1" s="499">
        <v>45172</v>
      </c>
      <c r="HN1" s="504"/>
      <c r="HO1" s="503"/>
      <c r="HP1" s="499">
        <v>45173</v>
      </c>
      <c r="HQ1" s="504"/>
      <c r="HR1" s="503"/>
      <c r="HS1" s="499">
        <v>45200</v>
      </c>
      <c r="HT1" s="504"/>
      <c r="HU1" s="503"/>
      <c r="HV1" s="499">
        <v>45201</v>
      </c>
      <c r="HW1" s="504"/>
      <c r="HX1" s="503"/>
      <c r="HY1" s="499">
        <v>45202</v>
      </c>
      <c r="HZ1" s="504"/>
      <c r="IA1" s="503"/>
      <c r="IB1" s="499">
        <v>45203</v>
      </c>
      <c r="IC1" s="504"/>
      <c r="ID1" s="503"/>
      <c r="IE1" s="499">
        <v>45231</v>
      </c>
      <c r="IF1" s="504"/>
      <c r="IG1" s="503"/>
      <c r="IH1" s="499">
        <v>45232</v>
      </c>
      <c r="II1" s="504"/>
      <c r="IJ1" s="503"/>
      <c r="IK1" s="499">
        <v>45233</v>
      </c>
      <c r="IL1" s="504"/>
      <c r="IM1" s="503"/>
      <c r="IN1" s="499">
        <v>45234</v>
      </c>
      <c r="IO1" s="504"/>
      <c r="IP1" s="503"/>
      <c r="IQ1" s="499">
        <v>45261</v>
      </c>
      <c r="IR1" s="504"/>
      <c r="IS1" s="503"/>
      <c r="IT1" s="499">
        <v>45262</v>
      </c>
      <c r="IU1" s="504"/>
      <c r="IV1" s="503"/>
      <c r="IW1" s="296">
        <v>2023</v>
      </c>
      <c r="IX1" s="2">
        <v>2024</v>
      </c>
      <c r="IY1" s="499">
        <v>45293</v>
      </c>
      <c r="IZ1" s="504"/>
      <c r="JA1" s="503"/>
      <c r="JB1" s="499">
        <v>45295</v>
      </c>
      <c r="JC1" s="504"/>
      <c r="JD1" s="503"/>
      <c r="JE1" s="499">
        <v>45323</v>
      </c>
      <c r="JF1" s="504"/>
      <c r="JG1" s="503"/>
      <c r="JH1" s="499">
        <v>45325</v>
      </c>
      <c r="JI1" s="504"/>
      <c r="JJ1" s="503"/>
      <c r="JK1" s="499">
        <v>45325</v>
      </c>
      <c r="JL1" s="504"/>
      <c r="JM1" s="504"/>
      <c r="JN1" s="499">
        <v>45352</v>
      </c>
      <c r="JO1" s="504"/>
      <c r="JP1" s="504"/>
      <c r="JQ1" s="499">
        <v>45353</v>
      </c>
      <c r="JR1" s="504"/>
      <c r="JS1" s="504"/>
      <c r="JT1" s="499">
        <v>45355</v>
      </c>
      <c r="JU1" s="504"/>
      <c r="JV1" s="504"/>
      <c r="JW1" s="499">
        <v>45383</v>
      </c>
      <c r="JX1" s="504"/>
      <c r="JY1" s="504"/>
      <c r="JZ1" s="499">
        <v>45384</v>
      </c>
      <c r="KA1" s="500"/>
      <c r="KB1" s="501"/>
      <c r="KC1" s="499">
        <v>45386</v>
      </c>
      <c r="KD1" s="500"/>
      <c r="KE1" s="501"/>
      <c r="KF1" s="499">
        <v>45413</v>
      </c>
      <c r="KG1" s="500"/>
      <c r="KH1" s="501"/>
      <c r="KI1" s="499">
        <v>45414</v>
      </c>
      <c r="KJ1" s="500"/>
      <c r="KK1" s="501"/>
      <c r="KL1" s="499">
        <v>45416</v>
      </c>
      <c r="KM1" s="500"/>
      <c r="KN1" s="501"/>
      <c r="KO1" s="499">
        <v>45444</v>
      </c>
      <c r="KP1" s="500"/>
      <c r="KQ1" s="501"/>
      <c r="KR1" s="499">
        <v>45445</v>
      </c>
      <c r="KS1" s="500"/>
      <c r="KT1" s="501"/>
      <c r="KU1" s="499">
        <v>45447</v>
      </c>
      <c r="KV1" s="500"/>
      <c r="KW1" s="501"/>
      <c r="KX1" s="499">
        <v>45474</v>
      </c>
      <c r="KY1" s="500"/>
      <c r="KZ1" s="501"/>
      <c r="LA1" s="499">
        <v>45475</v>
      </c>
      <c r="LB1" s="500"/>
      <c r="LC1" s="501"/>
      <c r="LD1" s="499">
        <v>45477</v>
      </c>
      <c r="LE1" s="500"/>
      <c r="LF1" s="501"/>
      <c r="LG1" s="499">
        <v>45505</v>
      </c>
      <c r="LH1" s="500"/>
      <c r="LI1" s="501"/>
      <c r="LJ1" s="499">
        <v>45506</v>
      </c>
      <c r="LK1" s="500"/>
      <c r="LL1" s="501"/>
      <c r="LM1" s="499">
        <v>45508</v>
      </c>
      <c r="LN1" s="500"/>
      <c r="LO1" s="501"/>
      <c r="LP1" s="499">
        <v>45536</v>
      </c>
      <c r="LQ1" s="500"/>
      <c r="LR1" s="501"/>
      <c r="LS1" s="499">
        <v>45537</v>
      </c>
      <c r="LT1" s="500"/>
      <c r="LU1" s="501"/>
      <c r="LV1" s="499">
        <v>45539</v>
      </c>
      <c r="LW1" s="500"/>
      <c r="LX1" s="501"/>
      <c r="LY1" s="499">
        <v>45566</v>
      </c>
      <c r="LZ1" s="500"/>
      <c r="MA1" s="501"/>
      <c r="MB1" s="499">
        <v>45567</v>
      </c>
      <c r="MC1" s="500"/>
      <c r="MD1" s="501"/>
      <c r="ME1" s="499">
        <v>45569</v>
      </c>
      <c r="MF1" s="500"/>
      <c r="MG1" s="501"/>
      <c r="MH1" s="499">
        <v>45598</v>
      </c>
      <c r="MI1" s="500"/>
      <c r="MJ1" s="501"/>
      <c r="MK1" s="499">
        <v>45600</v>
      </c>
      <c r="ML1" s="500"/>
      <c r="MM1" s="501"/>
      <c r="MN1" s="499">
        <v>45630</v>
      </c>
      <c r="MO1" s="500"/>
      <c r="MP1" s="501"/>
      <c r="MQ1" s="320">
        <v>2024</v>
      </c>
      <c r="MR1" s="343">
        <v>2025</v>
      </c>
      <c r="MS1" s="499">
        <v>45659</v>
      </c>
      <c r="MT1" s="500"/>
      <c r="MU1" s="501"/>
      <c r="MV1" s="499">
        <v>45661</v>
      </c>
      <c r="MW1" s="500"/>
      <c r="MX1" s="501"/>
      <c r="MY1" s="499">
        <v>45690</v>
      </c>
      <c r="MZ1" s="500"/>
      <c r="NA1" s="501"/>
      <c r="NB1" s="499">
        <v>45690</v>
      </c>
      <c r="NC1" s="500"/>
      <c r="ND1" s="500"/>
      <c r="NE1" s="472"/>
      <c r="NF1" s="499">
        <v>45718</v>
      </c>
      <c r="NG1" s="500"/>
      <c r="NH1" s="501"/>
      <c r="NI1" s="499">
        <v>45720</v>
      </c>
      <c r="NJ1" s="500"/>
      <c r="NK1" s="501"/>
      <c r="NL1" s="499">
        <v>45749</v>
      </c>
      <c r="NM1" s="500"/>
      <c r="NN1" s="501"/>
      <c r="NO1" s="499">
        <v>45751</v>
      </c>
      <c r="NP1" s="500"/>
      <c r="NQ1" s="501"/>
      <c r="NR1" s="499">
        <v>45779</v>
      </c>
      <c r="NS1" s="500"/>
      <c r="NT1" s="501"/>
      <c r="NU1" s="499">
        <v>45781</v>
      </c>
      <c r="NV1" s="500"/>
      <c r="NW1" s="501"/>
      <c r="NX1" s="499">
        <v>45810</v>
      </c>
      <c r="NY1" s="500"/>
      <c r="NZ1" s="501"/>
      <c r="OA1" s="499">
        <v>45812</v>
      </c>
      <c r="OB1" s="500"/>
      <c r="OC1" s="501"/>
      <c r="OD1" s="499">
        <v>45840</v>
      </c>
      <c r="OE1" s="500"/>
      <c r="OF1" s="501"/>
      <c r="OG1" s="499">
        <v>45842</v>
      </c>
      <c r="OH1" s="500"/>
      <c r="OI1" s="501"/>
      <c r="OJ1" s="2"/>
      <c r="OK1" s="35"/>
      <c r="OL1" s="5"/>
      <c r="OM1" s="17"/>
      <c r="ON1" s="17"/>
      <c r="OO1" s="5"/>
    </row>
    <row r="2" spans="1:412" s="40" customFormat="1">
      <c r="A2" s="34" t="s">
        <v>3</v>
      </c>
      <c r="B2" s="34" t="s">
        <v>341</v>
      </c>
      <c r="C2" s="34">
        <v>1</v>
      </c>
      <c r="D2" s="34">
        <v>2</v>
      </c>
      <c r="E2" s="34">
        <v>3</v>
      </c>
      <c r="F2" s="34">
        <v>1</v>
      </c>
      <c r="G2" s="34">
        <v>2</v>
      </c>
      <c r="H2" s="34">
        <v>3</v>
      </c>
      <c r="I2" s="34">
        <v>1</v>
      </c>
      <c r="J2" s="34">
        <v>2</v>
      </c>
      <c r="K2" s="34">
        <v>3</v>
      </c>
      <c r="L2" s="34">
        <v>1</v>
      </c>
      <c r="M2" s="34">
        <v>2</v>
      </c>
      <c r="N2" s="34">
        <v>3</v>
      </c>
      <c r="O2" s="34">
        <v>1</v>
      </c>
      <c r="P2" s="34">
        <v>2</v>
      </c>
      <c r="Q2" s="34">
        <v>3</v>
      </c>
      <c r="R2" s="34">
        <v>1</v>
      </c>
      <c r="S2" s="34">
        <v>2</v>
      </c>
      <c r="T2" s="34">
        <v>3</v>
      </c>
      <c r="U2" s="34">
        <v>1</v>
      </c>
      <c r="V2" s="34">
        <v>2</v>
      </c>
      <c r="W2" s="34">
        <v>3</v>
      </c>
      <c r="X2" s="34">
        <v>1</v>
      </c>
      <c r="Y2" s="34">
        <v>2</v>
      </c>
      <c r="Z2" s="34">
        <v>3</v>
      </c>
      <c r="AA2" s="34">
        <v>1</v>
      </c>
      <c r="AB2" s="34">
        <v>2</v>
      </c>
      <c r="AC2" s="34">
        <v>3</v>
      </c>
      <c r="AD2" s="34">
        <v>1</v>
      </c>
      <c r="AE2" s="34">
        <v>2</v>
      </c>
      <c r="AF2" s="34">
        <v>3</v>
      </c>
      <c r="AG2" s="34">
        <v>1</v>
      </c>
      <c r="AH2" s="34">
        <v>2</v>
      </c>
      <c r="AI2" s="34">
        <v>3</v>
      </c>
      <c r="AJ2" s="34">
        <v>1</v>
      </c>
      <c r="AK2" s="34">
        <v>2</v>
      </c>
      <c r="AL2" s="34">
        <v>3</v>
      </c>
      <c r="AM2" s="34">
        <v>1</v>
      </c>
      <c r="AN2" s="34">
        <v>2</v>
      </c>
      <c r="AO2" s="34">
        <v>3</v>
      </c>
      <c r="AP2" s="34">
        <v>4</v>
      </c>
      <c r="AQ2" s="34">
        <v>1</v>
      </c>
      <c r="AR2" s="34">
        <v>2</v>
      </c>
      <c r="AS2" s="34">
        <v>1</v>
      </c>
      <c r="AT2" s="34">
        <v>2</v>
      </c>
      <c r="AU2" s="34">
        <v>3</v>
      </c>
      <c r="AV2" s="34">
        <v>1</v>
      </c>
      <c r="AW2" s="34">
        <v>2</v>
      </c>
      <c r="AX2" s="34">
        <v>3</v>
      </c>
      <c r="AY2" s="34">
        <v>4</v>
      </c>
      <c r="AZ2" s="34">
        <v>1</v>
      </c>
      <c r="BA2" s="34">
        <v>2</v>
      </c>
      <c r="BB2" s="34">
        <v>3</v>
      </c>
      <c r="BC2" s="34">
        <v>4</v>
      </c>
      <c r="BD2" s="34">
        <v>5</v>
      </c>
      <c r="BE2" s="34">
        <v>1</v>
      </c>
      <c r="BF2" s="34">
        <v>2</v>
      </c>
      <c r="BG2" s="34">
        <v>3</v>
      </c>
      <c r="BH2" s="34">
        <v>1</v>
      </c>
      <c r="BI2" s="34">
        <v>2</v>
      </c>
      <c r="BJ2" s="34">
        <v>3</v>
      </c>
      <c r="BK2" s="34">
        <v>4</v>
      </c>
      <c r="BL2" s="34">
        <v>1</v>
      </c>
      <c r="BM2" s="34">
        <v>2</v>
      </c>
      <c r="BN2" s="34">
        <v>3</v>
      </c>
      <c r="BO2" s="34">
        <v>4</v>
      </c>
      <c r="BP2" s="34">
        <v>5</v>
      </c>
      <c r="BQ2" s="34">
        <v>1</v>
      </c>
      <c r="BR2" s="34">
        <v>2</v>
      </c>
      <c r="BS2" s="34">
        <v>3</v>
      </c>
      <c r="BT2" s="34">
        <v>1</v>
      </c>
      <c r="BU2" s="34">
        <v>2</v>
      </c>
      <c r="BV2" s="34">
        <v>3</v>
      </c>
      <c r="BW2" s="34">
        <v>1</v>
      </c>
      <c r="BX2" s="34">
        <v>2</v>
      </c>
      <c r="BY2" s="34">
        <v>3</v>
      </c>
      <c r="BZ2" s="34">
        <v>4</v>
      </c>
      <c r="CA2" s="34">
        <v>5</v>
      </c>
      <c r="CB2" s="34">
        <v>6</v>
      </c>
      <c r="CC2" s="34">
        <v>7</v>
      </c>
      <c r="CD2" s="34">
        <v>1</v>
      </c>
      <c r="CE2" s="34">
        <v>2</v>
      </c>
      <c r="CF2" s="34">
        <v>3</v>
      </c>
      <c r="CG2" s="34">
        <v>4</v>
      </c>
      <c r="CH2" s="34">
        <v>1</v>
      </c>
      <c r="CI2" s="34">
        <v>2</v>
      </c>
      <c r="CJ2" s="34">
        <v>3</v>
      </c>
      <c r="CK2" s="34">
        <v>1</v>
      </c>
      <c r="CL2" s="34">
        <v>2</v>
      </c>
      <c r="CM2" s="34">
        <v>1</v>
      </c>
      <c r="CN2" s="34">
        <v>2</v>
      </c>
      <c r="CO2" s="34">
        <v>3</v>
      </c>
      <c r="CP2" s="34">
        <v>4</v>
      </c>
      <c r="CQ2" s="34">
        <v>5</v>
      </c>
      <c r="CR2" s="34"/>
      <c r="CS2" s="34">
        <v>1</v>
      </c>
      <c r="CT2" s="34">
        <v>2</v>
      </c>
      <c r="CU2" s="34">
        <v>3</v>
      </c>
      <c r="CV2" s="34">
        <v>4</v>
      </c>
      <c r="CW2" s="34">
        <v>5</v>
      </c>
      <c r="CX2" s="34">
        <v>6</v>
      </c>
      <c r="CY2" s="34">
        <v>7</v>
      </c>
      <c r="CZ2" s="34">
        <v>8</v>
      </c>
      <c r="DA2" s="34">
        <v>9</v>
      </c>
      <c r="DB2" s="34">
        <v>10</v>
      </c>
      <c r="DC2" s="34">
        <v>11</v>
      </c>
      <c r="DD2" s="34">
        <v>12</v>
      </c>
      <c r="DE2" s="34">
        <v>1</v>
      </c>
      <c r="DF2" s="34">
        <v>2</v>
      </c>
      <c r="DG2" s="34">
        <v>3</v>
      </c>
      <c r="DH2" s="34">
        <v>1</v>
      </c>
      <c r="DI2" s="34">
        <v>2</v>
      </c>
      <c r="DJ2" s="34">
        <v>3</v>
      </c>
      <c r="DK2" s="34">
        <v>1</v>
      </c>
      <c r="DL2" s="34">
        <v>2</v>
      </c>
      <c r="DM2" s="34">
        <v>3</v>
      </c>
      <c r="DN2" s="34">
        <v>4</v>
      </c>
      <c r="DO2" s="34">
        <v>1</v>
      </c>
      <c r="DP2" s="34">
        <v>2</v>
      </c>
      <c r="DQ2" s="34">
        <v>3</v>
      </c>
      <c r="DR2" s="34">
        <v>4</v>
      </c>
      <c r="DS2" s="34">
        <v>5</v>
      </c>
      <c r="DT2" s="34">
        <v>6</v>
      </c>
      <c r="DU2" s="34">
        <v>1</v>
      </c>
      <c r="DV2" s="34">
        <v>2</v>
      </c>
      <c r="DW2" s="34">
        <v>3</v>
      </c>
      <c r="DX2" s="34">
        <v>1</v>
      </c>
      <c r="DY2" s="34">
        <v>2</v>
      </c>
      <c r="DZ2" s="34">
        <v>3</v>
      </c>
      <c r="EA2" s="34">
        <v>1</v>
      </c>
      <c r="EB2" s="34">
        <v>2</v>
      </c>
      <c r="EC2" s="34">
        <v>3</v>
      </c>
      <c r="ED2" s="34">
        <v>1</v>
      </c>
      <c r="EE2" s="34">
        <v>2</v>
      </c>
      <c r="EF2" s="34">
        <v>3</v>
      </c>
      <c r="EG2" s="34">
        <v>4</v>
      </c>
      <c r="EH2" s="34">
        <v>5</v>
      </c>
      <c r="EI2" s="34">
        <v>1</v>
      </c>
      <c r="EJ2" s="34">
        <v>2</v>
      </c>
      <c r="EK2" s="34">
        <v>3</v>
      </c>
      <c r="EL2" s="34">
        <v>4</v>
      </c>
      <c r="EM2" s="34">
        <v>1</v>
      </c>
      <c r="EN2" s="34">
        <v>2</v>
      </c>
      <c r="EO2" s="34">
        <v>1</v>
      </c>
      <c r="EP2" s="34">
        <v>2</v>
      </c>
      <c r="EQ2" s="34">
        <v>3</v>
      </c>
      <c r="ER2" s="34">
        <v>4</v>
      </c>
      <c r="ES2" s="34">
        <v>1</v>
      </c>
      <c r="ET2" s="34">
        <v>2</v>
      </c>
      <c r="EU2" s="34">
        <v>3</v>
      </c>
      <c r="EV2" s="34">
        <v>4</v>
      </c>
      <c r="EW2" s="34">
        <v>5</v>
      </c>
      <c r="EX2" s="34">
        <v>6</v>
      </c>
      <c r="EY2" s="34">
        <v>7</v>
      </c>
      <c r="EZ2" s="34">
        <v>8</v>
      </c>
      <c r="FA2" s="34">
        <v>9</v>
      </c>
      <c r="FB2" s="34">
        <v>1</v>
      </c>
      <c r="FC2" s="34">
        <v>2</v>
      </c>
      <c r="FD2" s="34">
        <v>3</v>
      </c>
      <c r="FE2" s="34">
        <v>1</v>
      </c>
      <c r="FF2" s="34">
        <v>2</v>
      </c>
      <c r="FG2" s="34">
        <v>3</v>
      </c>
      <c r="FH2" s="34">
        <v>1</v>
      </c>
      <c r="FI2" s="34">
        <v>2</v>
      </c>
      <c r="FJ2" s="34">
        <v>3</v>
      </c>
      <c r="FK2" s="34">
        <v>1</v>
      </c>
      <c r="FL2" s="34">
        <v>2</v>
      </c>
      <c r="FM2" s="34">
        <v>3</v>
      </c>
      <c r="FN2" s="34">
        <v>1</v>
      </c>
      <c r="FO2" s="34">
        <v>2</v>
      </c>
      <c r="FP2" s="34">
        <v>3</v>
      </c>
      <c r="FQ2" s="34">
        <v>1</v>
      </c>
      <c r="FR2" s="34">
        <v>2</v>
      </c>
      <c r="FS2" s="34">
        <v>1</v>
      </c>
      <c r="FT2" s="34">
        <v>2</v>
      </c>
      <c r="FU2" s="34">
        <v>3</v>
      </c>
      <c r="FV2" s="34">
        <v>1</v>
      </c>
      <c r="FW2" s="34">
        <v>2</v>
      </c>
      <c r="FX2" s="34">
        <v>3</v>
      </c>
      <c r="FY2" s="34">
        <v>1</v>
      </c>
      <c r="FZ2" s="34">
        <v>2</v>
      </c>
      <c r="GA2" s="34">
        <v>3</v>
      </c>
      <c r="GB2" s="34">
        <v>4</v>
      </c>
      <c r="GC2" s="34">
        <v>1</v>
      </c>
      <c r="GD2" s="34">
        <v>2</v>
      </c>
      <c r="GE2" s="34">
        <v>3</v>
      </c>
      <c r="GF2" s="34">
        <v>1</v>
      </c>
      <c r="GG2" s="34">
        <v>2</v>
      </c>
      <c r="GH2" s="34">
        <v>3</v>
      </c>
      <c r="GI2" s="34">
        <v>1</v>
      </c>
      <c r="GJ2" s="34">
        <v>2</v>
      </c>
      <c r="GK2" s="34">
        <v>3</v>
      </c>
      <c r="GL2" s="34">
        <v>1</v>
      </c>
      <c r="GM2" s="34">
        <v>2</v>
      </c>
      <c r="GN2" s="34">
        <v>3</v>
      </c>
      <c r="GO2" s="34">
        <v>1</v>
      </c>
      <c r="GP2" s="34">
        <v>2</v>
      </c>
      <c r="GQ2" s="34">
        <v>3</v>
      </c>
      <c r="GR2" s="34">
        <v>1</v>
      </c>
      <c r="GS2" s="34">
        <v>2</v>
      </c>
      <c r="GT2" s="34">
        <v>3</v>
      </c>
      <c r="GU2" s="34">
        <v>1</v>
      </c>
      <c r="GV2" s="34">
        <v>2</v>
      </c>
      <c r="GW2" s="34">
        <v>3</v>
      </c>
      <c r="GX2" s="34">
        <v>1</v>
      </c>
      <c r="GY2" s="34">
        <v>2</v>
      </c>
      <c r="GZ2" s="34">
        <v>3</v>
      </c>
      <c r="HA2" s="34">
        <v>1</v>
      </c>
      <c r="HB2" s="34">
        <v>2</v>
      </c>
      <c r="HC2" s="34">
        <v>3</v>
      </c>
      <c r="HD2" s="34">
        <v>1</v>
      </c>
      <c r="HE2" s="34">
        <v>2</v>
      </c>
      <c r="HF2" s="34">
        <v>3</v>
      </c>
      <c r="HG2" s="34">
        <v>1</v>
      </c>
      <c r="HH2" s="34">
        <v>2</v>
      </c>
      <c r="HI2" s="34">
        <v>3</v>
      </c>
      <c r="HJ2" s="34">
        <v>1</v>
      </c>
      <c r="HK2" s="34">
        <v>2</v>
      </c>
      <c r="HL2" s="34">
        <v>3</v>
      </c>
      <c r="HM2" s="34">
        <v>1</v>
      </c>
      <c r="HN2" s="34">
        <v>2</v>
      </c>
      <c r="HO2" s="34">
        <v>3</v>
      </c>
      <c r="HP2" s="34">
        <v>1</v>
      </c>
      <c r="HQ2" s="34">
        <v>2</v>
      </c>
      <c r="HR2" s="34">
        <v>3</v>
      </c>
      <c r="HS2" s="34">
        <v>1</v>
      </c>
      <c r="HT2" s="34">
        <v>2</v>
      </c>
      <c r="HU2" s="34">
        <v>3</v>
      </c>
      <c r="HV2" s="34">
        <v>1</v>
      </c>
      <c r="HW2" s="34">
        <v>2</v>
      </c>
      <c r="HX2" s="34">
        <v>3</v>
      </c>
      <c r="HY2" s="34">
        <v>1</v>
      </c>
      <c r="HZ2" s="34">
        <v>2</v>
      </c>
      <c r="IA2" s="34">
        <v>3</v>
      </c>
      <c r="IB2" s="34">
        <v>1</v>
      </c>
      <c r="IC2" s="34">
        <v>2</v>
      </c>
      <c r="ID2" s="34">
        <v>3</v>
      </c>
      <c r="IE2" s="34">
        <v>1</v>
      </c>
      <c r="IF2" s="34">
        <v>2</v>
      </c>
      <c r="IG2" s="34">
        <v>3</v>
      </c>
      <c r="IH2" s="34">
        <v>1</v>
      </c>
      <c r="II2" s="34">
        <v>2</v>
      </c>
      <c r="IJ2" s="34">
        <v>3</v>
      </c>
      <c r="IK2" s="34">
        <v>1</v>
      </c>
      <c r="IL2" s="34">
        <v>2</v>
      </c>
      <c r="IM2" s="34">
        <v>3</v>
      </c>
      <c r="IN2" s="34">
        <v>1</v>
      </c>
      <c r="IO2" s="34">
        <v>2</v>
      </c>
      <c r="IP2" s="34">
        <v>3</v>
      </c>
      <c r="IQ2" s="34">
        <v>1</v>
      </c>
      <c r="IR2" s="34">
        <v>2</v>
      </c>
      <c r="IS2" s="34">
        <v>3</v>
      </c>
      <c r="IT2" s="34">
        <v>1</v>
      </c>
      <c r="IU2" s="34">
        <v>2</v>
      </c>
      <c r="IV2" s="34">
        <v>3</v>
      </c>
      <c r="IW2" s="34"/>
      <c r="IX2" s="34"/>
      <c r="IY2" s="34">
        <v>1</v>
      </c>
      <c r="IZ2" s="34">
        <v>2</v>
      </c>
      <c r="JA2" s="34">
        <v>3</v>
      </c>
      <c r="JB2" s="34">
        <v>1</v>
      </c>
      <c r="JC2" s="34">
        <v>2</v>
      </c>
      <c r="JD2" s="34">
        <v>3</v>
      </c>
      <c r="JE2" s="34">
        <v>1</v>
      </c>
      <c r="JF2" s="34">
        <v>2</v>
      </c>
      <c r="JG2" s="34">
        <v>3</v>
      </c>
      <c r="JH2" s="34">
        <v>1</v>
      </c>
      <c r="JI2" s="34">
        <v>2</v>
      </c>
      <c r="JJ2" s="34">
        <v>3</v>
      </c>
      <c r="JK2" s="34">
        <v>1</v>
      </c>
      <c r="JL2" s="34">
        <v>2</v>
      </c>
      <c r="JM2" s="34">
        <v>3</v>
      </c>
      <c r="JN2" s="34">
        <v>1</v>
      </c>
      <c r="JO2" s="34">
        <v>2</v>
      </c>
      <c r="JP2" s="34">
        <v>3</v>
      </c>
      <c r="JQ2" s="34">
        <v>1</v>
      </c>
      <c r="JR2" s="34">
        <v>2</v>
      </c>
      <c r="JS2" s="34">
        <v>3</v>
      </c>
      <c r="JT2" s="34">
        <v>1</v>
      </c>
      <c r="JU2" s="34">
        <v>2</v>
      </c>
      <c r="JV2" s="34">
        <v>3</v>
      </c>
      <c r="JW2" s="34">
        <v>1</v>
      </c>
      <c r="JX2" s="34">
        <v>2</v>
      </c>
      <c r="JY2" s="34">
        <v>3</v>
      </c>
      <c r="JZ2" s="34">
        <v>1</v>
      </c>
      <c r="KA2" s="34">
        <v>2</v>
      </c>
      <c r="KB2" s="34">
        <v>3</v>
      </c>
      <c r="KC2" s="34">
        <v>1</v>
      </c>
      <c r="KD2" s="34">
        <v>2</v>
      </c>
      <c r="KE2" s="34">
        <v>3</v>
      </c>
      <c r="KF2" s="34">
        <v>1</v>
      </c>
      <c r="KG2" s="34">
        <v>2</v>
      </c>
      <c r="KH2" s="34">
        <v>3</v>
      </c>
      <c r="KI2" s="34">
        <v>1</v>
      </c>
      <c r="KJ2" s="34">
        <v>2</v>
      </c>
      <c r="KK2" s="34">
        <v>3</v>
      </c>
      <c r="KL2" s="34"/>
      <c r="KM2" s="34"/>
      <c r="KN2" s="34"/>
      <c r="KO2" s="34"/>
      <c r="KP2" s="34"/>
      <c r="KQ2" s="34"/>
      <c r="KR2" s="34"/>
      <c r="KS2" s="34"/>
      <c r="KT2" s="34"/>
      <c r="KU2" s="34"/>
      <c r="KV2" s="34"/>
      <c r="KW2" s="34"/>
      <c r="KX2" s="34"/>
      <c r="KY2" s="34"/>
      <c r="KZ2" s="34"/>
      <c r="LA2" s="34"/>
      <c r="LB2" s="34"/>
      <c r="LC2" s="34"/>
      <c r="LD2" s="34"/>
      <c r="LE2" s="34"/>
      <c r="LF2" s="34"/>
      <c r="LG2" s="34"/>
      <c r="LH2" s="34"/>
      <c r="LI2" s="34"/>
      <c r="LJ2" s="34"/>
      <c r="LK2" s="34"/>
      <c r="LL2" s="34"/>
      <c r="LM2" s="34"/>
      <c r="LN2" s="34"/>
      <c r="LO2" s="34"/>
      <c r="LP2" s="34"/>
      <c r="LQ2" s="34"/>
      <c r="LR2" s="34"/>
      <c r="LS2" s="34"/>
      <c r="LT2" s="34"/>
      <c r="LU2" s="34"/>
      <c r="LV2" s="34"/>
      <c r="LW2" s="34"/>
      <c r="LX2" s="34"/>
      <c r="LY2" s="34"/>
      <c r="LZ2" s="34"/>
      <c r="MA2" s="34"/>
      <c r="MB2" s="34"/>
      <c r="MC2" s="34"/>
      <c r="MD2" s="34"/>
      <c r="ME2" s="34"/>
      <c r="MF2" s="34"/>
      <c r="MG2" s="34"/>
      <c r="MH2" s="34"/>
      <c r="MI2" s="34"/>
      <c r="MJ2" s="34"/>
      <c r="MK2" s="34"/>
      <c r="ML2" s="34"/>
      <c r="MM2" s="34"/>
      <c r="MN2" s="34"/>
      <c r="MO2" s="34"/>
      <c r="MP2" s="34"/>
      <c r="MQ2" s="34"/>
      <c r="MR2" s="34"/>
      <c r="MS2" s="34"/>
      <c r="MT2" s="34"/>
      <c r="MU2" s="34"/>
      <c r="MV2" s="34"/>
      <c r="MW2" s="34"/>
      <c r="MX2" s="34"/>
      <c r="MY2" s="34"/>
      <c r="MZ2" s="34"/>
      <c r="NA2" s="34"/>
      <c r="NB2" s="34"/>
      <c r="NC2" s="34"/>
      <c r="ND2" s="34"/>
      <c r="NE2" s="34"/>
      <c r="NF2" s="34"/>
      <c r="NG2" s="34"/>
      <c r="NH2" s="34"/>
      <c r="NI2" s="34"/>
      <c r="NJ2" s="34"/>
      <c r="NK2" s="34"/>
      <c r="NL2" s="34"/>
      <c r="NM2" s="34"/>
      <c r="NN2" s="34"/>
      <c r="NO2" s="34"/>
      <c r="NP2" s="34"/>
      <c r="NQ2" s="34"/>
      <c r="NR2" s="34"/>
      <c r="NS2" s="34"/>
      <c r="NT2" s="34"/>
      <c r="NU2" s="34"/>
      <c r="NV2" s="34"/>
      <c r="NW2" s="34"/>
      <c r="NX2" s="34"/>
      <c r="NY2" s="34"/>
      <c r="NZ2" s="34"/>
      <c r="OA2" s="34"/>
      <c r="OB2" s="34"/>
      <c r="OC2" s="34"/>
      <c r="OD2" s="34"/>
      <c r="OE2" s="34"/>
      <c r="OF2" s="34"/>
      <c r="OG2" s="34"/>
      <c r="OH2" s="34"/>
      <c r="OI2" s="34"/>
      <c r="OJ2" s="34"/>
      <c r="OK2" s="38" t="s">
        <v>6</v>
      </c>
      <c r="OL2" s="39" t="s">
        <v>7</v>
      </c>
      <c r="OM2" s="39" t="s">
        <v>4</v>
      </c>
      <c r="ON2" s="39" t="s">
        <v>320</v>
      </c>
      <c r="OO2" s="39" t="s">
        <v>5</v>
      </c>
      <c r="OP2" s="214"/>
    </row>
    <row r="3" spans="1:412" ht="16.5" hidden="1" customHeight="1">
      <c r="A3" s="8" t="s">
        <v>35</v>
      </c>
      <c r="B3" s="8" t="str">
        <f>VLOOKUP(A3,'미니게임_DATA(순)'!$A$4:$B$48,2,0)</f>
        <v>N</v>
      </c>
      <c r="C3" s="13"/>
      <c r="D3" s="13"/>
      <c r="E3" s="13"/>
      <c r="F3" s="13">
        <v>120</v>
      </c>
      <c r="G3" s="13">
        <v>109</v>
      </c>
      <c r="H3" s="13">
        <v>89</v>
      </c>
      <c r="I3" s="13"/>
      <c r="J3" s="13"/>
      <c r="K3" s="13"/>
      <c r="L3" s="18">
        <v>102</v>
      </c>
      <c r="M3" s="18">
        <v>82</v>
      </c>
      <c r="N3" s="18">
        <v>94</v>
      </c>
      <c r="O3" s="18"/>
      <c r="P3" s="18">
        <v>88</v>
      </c>
      <c r="Q3" s="18">
        <v>102</v>
      </c>
      <c r="R3" s="18"/>
      <c r="S3" s="18"/>
      <c r="T3" s="18"/>
      <c r="U3" s="18">
        <v>108</v>
      </c>
      <c r="V3" s="18">
        <v>84</v>
      </c>
      <c r="W3" s="18">
        <v>92</v>
      </c>
      <c r="X3" s="18"/>
      <c r="Y3" s="18"/>
      <c r="Z3" s="18"/>
      <c r="AA3" s="18">
        <v>116</v>
      </c>
      <c r="AB3" s="18">
        <v>103</v>
      </c>
      <c r="AC3" s="18">
        <v>103</v>
      </c>
      <c r="AD3" s="18">
        <v>137</v>
      </c>
      <c r="AE3" s="18">
        <v>102</v>
      </c>
      <c r="AF3" s="18">
        <v>103</v>
      </c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>
        <v>119</v>
      </c>
      <c r="AR3" s="18">
        <v>85</v>
      </c>
      <c r="AS3" s="18">
        <v>99</v>
      </c>
      <c r="AT3" s="18">
        <v>89</v>
      </c>
      <c r="AU3" s="18">
        <v>85</v>
      </c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>
        <v>131</v>
      </c>
      <c r="CL3" s="18">
        <v>100</v>
      </c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>
        <v>98</v>
      </c>
      <c r="DI3" s="18">
        <v>91</v>
      </c>
      <c r="DJ3" s="18">
        <v>130</v>
      </c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>
        <v>107</v>
      </c>
      <c r="DY3" s="18">
        <v>93</v>
      </c>
      <c r="DZ3" s="18">
        <v>141</v>
      </c>
      <c r="EA3" s="18"/>
      <c r="EB3" s="18">
        <v>104</v>
      </c>
      <c r="EC3" s="18">
        <v>124</v>
      </c>
      <c r="ED3" s="18">
        <v>109</v>
      </c>
      <c r="EE3" s="18">
        <v>146</v>
      </c>
      <c r="EF3" s="18">
        <v>127</v>
      </c>
      <c r="EG3" s="18">
        <v>106</v>
      </c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>
        <v>107</v>
      </c>
      <c r="GJ3" s="18">
        <v>131</v>
      </c>
      <c r="GK3" s="18">
        <v>132</v>
      </c>
      <c r="GL3" s="18">
        <v>95</v>
      </c>
      <c r="GM3" s="18">
        <v>124</v>
      </c>
      <c r="GN3" s="18">
        <v>101</v>
      </c>
      <c r="GO3" s="18">
        <v>108</v>
      </c>
      <c r="GP3" s="18">
        <v>110</v>
      </c>
      <c r="GQ3" s="18">
        <v>98</v>
      </c>
      <c r="GR3" s="18"/>
      <c r="GS3" s="18"/>
      <c r="GT3" s="18"/>
      <c r="GU3" s="18"/>
      <c r="GV3" s="18"/>
      <c r="GW3" s="18"/>
      <c r="GX3" s="18">
        <v>97</v>
      </c>
      <c r="GY3" s="18">
        <v>96</v>
      </c>
      <c r="GZ3" s="18">
        <v>94</v>
      </c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36" t="e">
        <f>SUM(#REF!)</f>
        <v>#REF!</v>
      </c>
      <c r="OL3" s="10">
        <f>IFERROR(IF(OK3=0,0,OK3/COUNTIF($A3:$OJ3,"&gt;0")),0)</f>
        <v>0</v>
      </c>
      <c r="OM3" s="10">
        <f>IFERROR(SUM(A3:OJ3)/COUNTIF(A3:OJ3, "&gt;0"),0)</f>
        <v>106.47916666666667</v>
      </c>
      <c r="ON3" s="10"/>
      <c r="OO3" s="10">
        <f t="shared" ref="OO3" si="0">SUM(A3:OJ3)/COUNTIF(A3:OJ3,"&gt;0")</f>
        <v>106.47916666666667</v>
      </c>
    </row>
    <row r="4" spans="1:412">
      <c r="A4" s="8" t="s">
        <v>14</v>
      </c>
      <c r="B4" s="8" t="str">
        <f>VLOOKUP(A4,'미니게임_DATA(순)'!$A$4:$B$60,2,0)</f>
        <v>Y</v>
      </c>
      <c r="C4" s="13"/>
      <c r="D4" s="13"/>
      <c r="E4" s="13"/>
      <c r="F4" s="13"/>
      <c r="G4" s="13"/>
      <c r="H4" s="13"/>
      <c r="I4" s="13"/>
      <c r="J4" s="13"/>
      <c r="K4" s="13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24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>
        <v>124</v>
      </c>
      <c r="FF4" s="18">
        <v>126</v>
      </c>
      <c r="FG4" s="18">
        <v>147</v>
      </c>
      <c r="FH4" s="18"/>
      <c r="FI4" s="18"/>
      <c r="FJ4" s="18"/>
      <c r="FK4" s="18">
        <v>139</v>
      </c>
      <c r="FL4" s="18">
        <v>145</v>
      </c>
      <c r="FM4" s="20">
        <v>200</v>
      </c>
      <c r="FN4" s="18"/>
      <c r="FO4" s="18"/>
      <c r="FP4" s="18"/>
      <c r="FQ4" s="18">
        <v>198</v>
      </c>
      <c r="FR4" s="18">
        <v>126</v>
      </c>
      <c r="FS4" s="18">
        <v>140</v>
      </c>
      <c r="FT4" s="18">
        <v>166</v>
      </c>
      <c r="FU4" s="18">
        <v>136</v>
      </c>
      <c r="FV4" s="18">
        <v>177</v>
      </c>
      <c r="FW4" s="18">
        <v>174</v>
      </c>
      <c r="FX4" s="20">
        <v>201</v>
      </c>
      <c r="FY4" s="20">
        <v>200</v>
      </c>
      <c r="FZ4" s="18">
        <v>178</v>
      </c>
      <c r="GA4" s="18">
        <v>147</v>
      </c>
      <c r="GB4" s="18"/>
      <c r="GC4" s="18">
        <v>179</v>
      </c>
      <c r="GD4" s="18">
        <v>149</v>
      </c>
      <c r="GE4" s="18">
        <v>169</v>
      </c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>
        <v>133</v>
      </c>
      <c r="HN4" s="18">
        <v>136</v>
      </c>
      <c r="HO4" s="18">
        <v>151</v>
      </c>
      <c r="HP4" s="18"/>
      <c r="HQ4" s="18"/>
      <c r="HR4" s="18"/>
      <c r="HS4" s="18"/>
      <c r="HT4" s="18"/>
      <c r="HU4" s="18"/>
      <c r="HV4" s="18"/>
      <c r="HW4" s="18"/>
      <c r="HX4" s="18"/>
      <c r="HY4" s="28">
        <v>148</v>
      </c>
      <c r="HZ4" s="28">
        <v>131</v>
      </c>
      <c r="IA4" s="28">
        <v>180</v>
      </c>
      <c r="IB4" s="18"/>
      <c r="IC4" s="18"/>
      <c r="ID4" s="18"/>
      <c r="IE4" s="18">
        <v>127</v>
      </c>
      <c r="IF4" s="18">
        <v>140</v>
      </c>
      <c r="IG4" s="18">
        <v>178</v>
      </c>
      <c r="IH4" s="18"/>
      <c r="II4" s="18"/>
      <c r="IJ4" s="18"/>
      <c r="IK4" s="18">
        <v>165</v>
      </c>
      <c r="IL4" s="18">
        <v>131</v>
      </c>
      <c r="IM4" s="18">
        <v>161</v>
      </c>
      <c r="IN4" s="18"/>
      <c r="IO4" s="18"/>
      <c r="IP4" s="18"/>
      <c r="IQ4" s="18">
        <v>209</v>
      </c>
      <c r="IR4" s="18">
        <v>163</v>
      </c>
      <c r="IS4" s="18">
        <v>198</v>
      </c>
      <c r="IT4" s="18">
        <v>164</v>
      </c>
      <c r="IU4" s="18">
        <v>143</v>
      </c>
      <c r="IV4" s="18">
        <v>147</v>
      </c>
      <c r="IW4" s="18"/>
      <c r="IX4" s="18"/>
      <c r="IY4" s="18">
        <v>204</v>
      </c>
      <c r="IZ4" s="18">
        <v>189</v>
      </c>
      <c r="JA4" s="18">
        <v>144</v>
      </c>
      <c r="JB4" s="18">
        <v>128</v>
      </c>
      <c r="JC4" s="18">
        <v>155</v>
      </c>
      <c r="JD4" s="18">
        <v>154</v>
      </c>
      <c r="JE4" s="18">
        <v>130</v>
      </c>
      <c r="JF4" s="18">
        <v>150</v>
      </c>
      <c r="JG4" s="18">
        <v>114</v>
      </c>
      <c r="JH4" s="8">
        <v>189</v>
      </c>
      <c r="JI4" s="8">
        <v>168</v>
      </c>
      <c r="JJ4" s="8">
        <v>128</v>
      </c>
      <c r="JK4" s="8">
        <v>183</v>
      </c>
      <c r="JL4" s="8">
        <v>137</v>
      </c>
      <c r="JM4" s="8">
        <v>129</v>
      </c>
      <c r="JN4" s="8">
        <v>141</v>
      </c>
      <c r="JO4" s="8">
        <v>126</v>
      </c>
      <c r="JP4" s="8">
        <v>169</v>
      </c>
      <c r="JQ4" s="8">
        <v>159</v>
      </c>
      <c r="JR4" s="8">
        <v>160</v>
      </c>
      <c r="JS4" s="8">
        <v>203</v>
      </c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>
        <v>169</v>
      </c>
      <c r="LK4" s="8">
        <v>147</v>
      </c>
      <c r="LL4" s="8">
        <v>165</v>
      </c>
      <c r="LM4" s="8"/>
      <c r="LN4" s="8"/>
      <c r="LO4" s="8"/>
      <c r="LP4" s="8"/>
      <c r="LQ4" s="8"/>
      <c r="LR4" s="8"/>
      <c r="LS4" s="8"/>
      <c r="LT4" s="8"/>
      <c r="LU4" s="8"/>
      <c r="LV4" s="8">
        <v>157</v>
      </c>
      <c r="LW4" s="8">
        <v>114</v>
      </c>
      <c r="LX4" s="8"/>
      <c r="LY4" s="8"/>
      <c r="LZ4" s="8"/>
      <c r="MA4" s="8"/>
      <c r="MB4" s="8"/>
      <c r="MC4" s="8"/>
      <c r="MD4" s="8"/>
      <c r="ME4" s="8"/>
      <c r="MF4" s="8"/>
      <c r="MG4" s="8"/>
      <c r="MH4" s="13">
        <v>127</v>
      </c>
      <c r="MI4" s="13">
        <v>135</v>
      </c>
      <c r="MJ4" s="13">
        <v>146</v>
      </c>
      <c r="MK4" s="13"/>
      <c r="ML4" s="13"/>
      <c r="MM4" s="13"/>
      <c r="MN4" s="13">
        <v>148</v>
      </c>
      <c r="MO4" s="13"/>
      <c r="MP4" s="13"/>
      <c r="MQ4" s="13"/>
      <c r="MR4" s="13"/>
      <c r="MS4" s="13">
        <v>135</v>
      </c>
      <c r="MT4" s="13">
        <v>137</v>
      </c>
      <c r="MU4" s="13">
        <v>127</v>
      </c>
      <c r="MV4" s="13">
        <v>122</v>
      </c>
      <c r="MW4" s="13">
        <v>143</v>
      </c>
      <c r="MX4" s="13">
        <v>163</v>
      </c>
      <c r="MY4" s="13">
        <v>117</v>
      </c>
      <c r="MZ4" s="13">
        <v>168</v>
      </c>
      <c r="NA4" s="13">
        <v>128</v>
      </c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>
        <v>163</v>
      </c>
      <c r="NM4" s="13">
        <v>188</v>
      </c>
      <c r="NN4" s="13">
        <v>143</v>
      </c>
      <c r="NO4" s="13">
        <v>146</v>
      </c>
      <c r="NP4" s="13">
        <v>202</v>
      </c>
      <c r="NQ4" s="13">
        <v>165</v>
      </c>
      <c r="NR4" s="13">
        <v>147</v>
      </c>
      <c r="NS4" s="13">
        <v>178</v>
      </c>
      <c r="NT4" s="13">
        <v>156</v>
      </c>
      <c r="NU4" s="13">
        <v>113</v>
      </c>
      <c r="NV4" s="13">
        <v>180</v>
      </c>
      <c r="NW4" s="13">
        <v>140</v>
      </c>
      <c r="NX4" s="13">
        <v>154</v>
      </c>
      <c r="NY4" s="13">
        <v>155</v>
      </c>
      <c r="NZ4" s="13">
        <v>136</v>
      </c>
      <c r="OA4" s="13">
        <v>106</v>
      </c>
      <c r="OB4" s="13">
        <v>159</v>
      </c>
      <c r="OC4" s="13">
        <v>167</v>
      </c>
      <c r="OD4" s="13">
        <v>132</v>
      </c>
      <c r="OE4" s="13">
        <v>185</v>
      </c>
      <c r="OF4" s="13">
        <v>143</v>
      </c>
      <c r="OG4" s="13">
        <v>189</v>
      </c>
      <c r="OH4" s="13">
        <v>169</v>
      </c>
      <c r="OI4" s="13">
        <v>159</v>
      </c>
      <c r="OJ4" s="8"/>
      <c r="OK4" s="36">
        <f>SUM(OG4:OI4)</f>
        <v>517</v>
      </c>
      <c r="OL4" s="10">
        <f>IFERROR(AVERAGE(OG4:OI4),0)</f>
        <v>172.33333333333334</v>
      </c>
      <c r="OM4" s="10">
        <f>IFERROR(SUM(IY4:MQ4)/COUNTIF(IY4:MQ4, "&gt;0"),0)</f>
        <v>152.26666666666668</v>
      </c>
      <c r="ON4" s="10">
        <f>IFERROR(SUM(MS4:OJ4)/COUNTIF(MS4:OJ4, "&gt;0"),0)</f>
        <v>151.96969696969697</v>
      </c>
      <c r="OO4" s="10">
        <f t="shared" ref="OO4:OO12" si="1">SUM(A4:OJ4)/COUNTIF(A4:OJ4,"&gt;0")</f>
        <v>154.54455445544554</v>
      </c>
    </row>
    <row r="5" spans="1:412" ht="18.75">
      <c r="A5" s="8" t="s">
        <v>37</v>
      </c>
      <c r="B5" s="8" t="str">
        <f>VLOOKUP(A5,'미니게임_DATA(순)'!$A$4:$B$60,2,0)</f>
        <v>Y</v>
      </c>
      <c r="C5" s="13">
        <v>118</v>
      </c>
      <c r="D5" s="13">
        <v>111</v>
      </c>
      <c r="E5" s="13">
        <v>197</v>
      </c>
      <c r="F5" s="13">
        <v>132</v>
      </c>
      <c r="G5" s="13">
        <v>181</v>
      </c>
      <c r="H5" s="13">
        <v>167</v>
      </c>
      <c r="I5" s="13"/>
      <c r="J5" s="13"/>
      <c r="K5" s="13"/>
      <c r="L5" s="18">
        <v>147</v>
      </c>
      <c r="M5" s="18">
        <v>154</v>
      </c>
      <c r="N5" s="18">
        <v>178</v>
      </c>
      <c r="O5" s="18">
        <v>161</v>
      </c>
      <c r="P5" s="18">
        <v>176</v>
      </c>
      <c r="Q5" s="20">
        <v>217</v>
      </c>
      <c r="R5" s="18">
        <v>125</v>
      </c>
      <c r="S5" s="18">
        <v>137</v>
      </c>
      <c r="T5" s="18">
        <v>143</v>
      </c>
      <c r="U5" s="18">
        <v>151</v>
      </c>
      <c r="V5" s="18">
        <v>182</v>
      </c>
      <c r="W5" s="20">
        <v>200</v>
      </c>
      <c r="X5" s="18"/>
      <c r="Y5" s="18"/>
      <c r="Z5" s="18"/>
      <c r="AA5" s="18">
        <v>164</v>
      </c>
      <c r="AB5" s="18">
        <v>140</v>
      </c>
      <c r="AC5" s="18">
        <v>159</v>
      </c>
      <c r="AD5" s="18"/>
      <c r="AE5" s="18"/>
      <c r="AF5" s="18"/>
      <c r="AG5" s="18">
        <v>173</v>
      </c>
      <c r="AH5" s="18">
        <v>146</v>
      </c>
      <c r="AI5" s="18">
        <v>165</v>
      </c>
      <c r="AJ5" s="18"/>
      <c r="AK5" s="18"/>
      <c r="AL5" s="18"/>
      <c r="AM5" s="18"/>
      <c r="AN5" s="18"/>
      <c r="AO5" s="18"/>
      <c r="AP5" s="18"/>
      <c r="AQ5" s="18">
        <v>144</v>
      </c>
      <c r="AR5" s="18">
        <v>168</v>
      </c>
      <c r="AS5" s="18">
        <v>134</v>
      </c>
      <c r="AT5" s="18">
        <v>166</v>
      </c>
      <c r="AU5" s="18">
        <v>144</v>
      </c>
      <c r="AV5" s="18">
        <v>126</v>
      </c>
      <c r="AW5" s="18">
        <v>167</v>
      </c>
      <c r="AX5" s="18">
        <v>160</v>
      </c>
      <c r="AY5" s="20">
        <v>210</v>
      </c>
      <c r="AZ5" s="18">
        <v>151</v>
      </c>
      <c r="BA5" s="18">
        <v>169</v>
      </c>
      <c r="BB5" s="18">
        <v>136</v>
      </c>
      <c r="BC5" s="18">
        <v>147</v>
      </c>
      <c r="BD5" s="18">
        <v>144</v>
      </c>
      <c r="BE5" s="18">
        <v>139</v>
      </c>
      <c r="BF5" s="18">
        <v>172</v>
      </c>
      <c r="BG5" s="20">
        <v>205</v>
      </c>
      <c r="BH5" s="18">
        <v>180</v>
      </c>
      <c r="BI5" s="18">
        <v>129</v>
      </c>
      <c r="BJ5" s="18">
        <v>170</v>
      </c>
      <c r="BK5" s="18">
        <v>154</v>
      </c>
      <c r="BL5" s="18"/>
      <c r="BM5" s="18"/>
      <c r="BN5" s="18"/>
      <c r="BO5" s="18"/>
      <c r="BP5" s="18"/>
      <c r="BQ5" s="18">
        <v>165</v>
      </c>
      <c r="BR5" s="18">
        <v>120</v>
      </c>
      <c r="BS5" s="18">
        <v>158</v>
      </c>
      <c r="BT5" s="18">
        <v>150</v>
      </c>
      <c r="BU5" s="18">
        <v>150</v>
      </c>
      <c r="BV5" s="18">
        <v>142</v>
      </c>
      <c r="BW5" s="18">
        <v>170</v>
      </c>
      <c r="BX5" s="20">
        <v>214</v>
      </c>
      <c r="BY5" s="18">
        <v>167</v>
      </c>
      <c r="BZ5" s="18">
        <v>189</v>
      </c>
      <c r="CA5" s="18"/>
      <c r="CB5" s="18"/>
      <c r="CC5" s="18"/>
      <c r="CD5" s="18">
        <v>149</v>
      </c>
      <c r="CE5" s="18">
        <v>119</v>
      </c>
      <c r="CF5" s="18">
        <v>134</v>
      </c>
      <c r="CG5" s="18">
        <v>188</v>
      </c>
      <c r="CH5" s="18">
        <v>147</v>
      </c>
      <c r="CI5" s="18">
        <v>151</v>
      </c>
      <c r="CJ5" s="18">
        <v>171</v>
      </c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>
        <v>114</v>
      </c>
      <c r="DF5" s="18">
        <v>148</v>
      </c>
      <c r="DG5" s="18">
        <v>134</v>
      </c>
      <c r="DH5" s="18">
        <v>138</v>
      </c>
      <c r="DI5" s="18">
        <v>115</v>
      </c>
      <c r="DJ5" s="18">
        <v>152</v>
      </c>
      <c r="DK5" s="18"/>
      <c r="DL5" s="18"/>
      <c r="DM5" s="18"/>
      <c r="DN5" s="18"/>
      <c r="DO5" s="18">
        <v>139</v>
      </c>
      <c r="DP5" s="18">
        <v>163</v>
      </c>
      <c r="DQ5" s="18">
        <v>147</v>
      </c>
      <c r="DR5" s="18"/>
      <c r="DS5" s="18"/>
      <c r="DT5" s="18"/>
      <c r="DU5" s="18">
        <v>103</v>
      </c>
      <c r="DV5" s="18">
        <v>177</v>
      </c>
      <c r="DW5" s="18">
        <v>164</v>
      </c>
      <c r="DX5" s="18">
        <v>176</v>
      </c>
      <c r="DY5" s="18">
        <v>158</v>
      </c>
      <c r="DZ5" s="18">
        <v>166</v>
      </c>
      <c r="EA5" s="18">
        <v>126</v>
      </c>
      <c r="EB5" s="18">
        <v>146</v>
      </c>
      <c r="EC5" s="18">
        <v>145</v>
      </c>
      <c r="ED5" s="18">
        <v>146</v>
      </c>
      <c r="EE5" s="20">
        <v>204</v>
      </c>
      <c r="EF5" s="18">
        <v>135</v>
      </c>
      <c r="EG5" s="18"/>
      <c r="EH5" s="18"/>
      <c r="EI5" s="18">
        <v>186</v>
      </c>
      <c r="EJ5" s="18">
        <v>169</v>
      </c>
      <c r="EK5" s="18">
        <v>149</v>
      </c>
      <c r="EL5" s="18">
        <v>145</v>
      </c>
      <c r="EM5" s="18">
        <v>179</v>
      </c>
      <c r="EN5" s="18">
        <v>95</v>
      </c>
      <c r="EO5" s="18"/>
      <c r="EP5" s="18"/>
      <c r="EQ5" s="18">
        <v>150</v>
      </c>
      <c r="ER5" s="18">
        <v>144</v>
      </c>
      <c r="ES5" s="18">
        <v>151</v>
      </c>
      <c r="ET5" s="18">
        <v>150</v>
      </c>
      <c r="EU5" s="18">
        <v>165</v>
      </c>
      <c r="EV5" s="18">
        <v>164</v>
      </c>
      <c r="EW5" s="18"/>
      <c r="EX5" s="18"/>
      <c r="EY5" s="18"/>
      <c r="EZ5" s="18"/>
      <c r="FA5" s="18"/>
      <c r="FB5" s="18">
        <v>137</v>
      </c>
      <c r="FC5" s="18">
        <v>121</v>
      </c>
      <c r="FD5" s="20">
        <v>202</v>
      </c>
      <c r="FE5" s="20">
        <v>229</v>
      </c>
      <c r="FF5" s="18">
        <v>114</v>
      </c>
      <c r="FG5" s="18">
        <v>161</v>
      </c>
      <c r="FH5" s="18">
        <v>151</v>
      </c>
      <c r="FI5" s="18">
        <v>159</v>
      </c>
      <c r="FJ5" s="18">
        <v>171</v>
      </c>
      <c r="FK5" s="18"/>
      <c r="FL5" s="18"/>
      <c r="FM5" s="18"/>
      <c r="FN5" s="18">
        <v>149</v>
      </c>
      <c r="FO5" s="20">
        <v>224</v>
      </c>
      <c r="FP5" s="18">
        <v>165</v>
      </c>
      <c r="FQ5" s="18">
        <v>114</v>
      </c>
      <c r="FR5" s="18">
        <v>159</v>
      </c>
      <c r="FS5" s="18"/>
      <c r="FT5" s="18"/>
      <c r="FU5" s="18"/>
      <c r="FV5" s="18">
        <v>170</v>
      </c>
      <c r="FW5" s="18">
        <v>161</v>
      </c>
      <c r="FX5" s="18">
        <v>199</v>
      </c>
      <c r="FY5" s="18">
        <v>147</v>
      </c>
      <c r="FZ5" s="18">
        <v>144</v>
      </c>
      <c r="GA5" s="30">
        <v>207</v>
      </c>
      <c r="GB5" s="18"/>
      <c r="GC5" s="18">
        <v>198</v>
      </c>
      <c r="GD5" s="18">
        <v>182</v>
      </c>
      <c r="GE5" s="18">
        <v>133</v>
      </c>
      <c r="GF5" s="18">
        <v>148</v>
      </c>
      <c r="GG5" s="18">
        <v>153</v>
      </c>
      <c r="GH5" s="18">
        <v>169</v>
      </c>
      <c r="GI5" s="18">
        <v>159</v>
      </c>
      <c r="GJ5" s="18">
        <v>178</v>
      </c>
      <c r="GK5" s="18">
        <v>209</v>
      </c>
      <c r="GL5" s="18">
        <v>161</v>
      </c>
      <c r="GM5" s="18">
        <v>145</v>
      </c>
      <c r="GN5" s="18">
        <v>128</v>
      </c>
      <c r="GO5" s="18">
        <v>194</v>
      </c>
      <c r="GP5" s="18">
        <v>152</v>
      </c>
      <c r="GQ5" s="18">
        <v>192</v>
      </c>
      <c r="GR5" s="18"/>
      <c r="GS5" s="18"/>
      <c r="GT5" s="18"/>
      <c r="GU5" s="18"/>
      <c r="GV5" s="18"/>
      <c r="GW5" s="18"/>
      <c r="GX5" s="18">
        <v>184</v>
      </c>
      <c r="GY5" s="19">
        <v>201</v>
      </c>
      <c r="GZ5" s="18">
        <v>189</v>
      </c>
      <c r="HA5" s="18">
        <v>158</v>
      </c>
      <c r="HB5" s="18">
        <v>215</v>
      </c>
      <c r="HC5" s="18">
        <v>157</v>
      </c>
      <c r="HD5" s="18">
        <v>136</v>
      </c>
      <c r="HE5" s="18">
        <v>160</v>
      </c>
      <c r="HF5" s="18">
        <v>140</v>
      </c>
      <c r="HG5" s="18">
        <v>191</v>
      </c>
      <c r="HH5" s="18">
        <v>149</v>
      </c>
      <c r="HI5" s="18">
        <v>201</v>
      </c>
      <c r="HJ5" s="18"/>
      <c r="HK5" s="18"/>
      <c r="HL5" s="18"/>
      <c r="HM5" s="18">
        <v>134</v>
      </c>
      <c r="HN5" s="18">
        <v>179</v>
      </c>
      <c r="HO5" s="18">
        <v>157</v>
      </c>
      <c r="HP5" s="18"/>
      <c r="HQ5" s="18"/>
      <c r="HR5" s="18"/>
      <c r="HS5" s="18">
        <v>162</v>
      </c>
      <c r="HT5" s="18">
        <v>185</v>
      </c>
      <c r="HU5" s="18">
        <v>179</v>
      </c>
      <c r="HV5" s="18">
        <v>149</v>
      </c>
      <c r="HW5" s="18">
        <v>142</v>
      </c>
      <c r="HX5" s="18">
        <v>179</v>
      </c>
      <c r="HY5" s="28">
        <v>176</v>
      </c>
      <c r="HZ5" s="28">
        <v>215</v>
      </c>
      <c r="IA5" s="28">
        <v>160</v>
      </c>
      <c r="IB5" s="18"/>
      <c r="IC5" s="18"/>
      <c r="ID5" s="18"/>
      <c r="IE5" s="18"/>
      <c r="IF5" s="18"/>
      <c r="IG5" s="18"/>
      <c r="IH5" s="18">
        <v>123</v>
      </c>
      <c r="II5" s="18">
        <v>168</v>
      </c>
      <c r="IJ5" s="18">
        <v>143</v>
      </c>
      <c r="IK5" s="18">
        <v>136</v>
      </c>
      <c r="IL5" s="18">
        <v>154</v>
      </c>
      <c r="IM5" s="18">
        <v>155</v>
      </c>
      <c r="IN5" s="18"/>
      <c r="IO5" s="18"/>
      <c r="IP5" s="18"/>
      <c r="IQ5" s="18">
        <v>166</v>
      </c>
      <c r="IR5" s="18">
        <v>148</v>
      </c>
      <c r="IS5" s="18">
        <v>157</v>
      </c>
      <c r="IT5" s="18">
        <v>166</v>
      </c>
      <c r="IU5" s="18">
        <v>242</v>
      </c>
      <c r="IV5" s="18">
        <v>193</v>
      </c>
      <c r="IW5" s="18"/>
      <c r="IX5" s="18"/>
      <c r="IY5" s="23">
        <v>198</v>
      </c>
      <c r="IZ5" s="18">
        <v>161</v>
      </c>
      <c r="JA5" s="18">
        <v>161</v>
      </c>
      <c r="JB5" s="18">
        <v>137</v>
      </c>
      <c r="JC5" s="18">
        <v>224</v>
      </c>
      <c r="JD5" s="18">
        <v>213</v>
      </c>
      <c r="JE5" s="18"/>
      <c r="JF5" s="18"/>
      <c r="JG5" s="18"/>
      <c r="JH5" s="8"/>
      <c r="JI5" s="8"/>
      <c r="JJ5" s="8"/>
      <c r="JK5" s="8"/>
      <c r="JL5" s="8"/>
      <c r="JM5" s="8"/>
      <c r="JN5" s="8">
        <v>163</v>
      </c>
      <c r="JO5" s="8">
        <v>167</v>
      </c>
      <c r="JP5" s="8">
        <v>186</v>
      </c>
      <c r="JQ5" s="8">
        <v>176</v>
      </c>
      <c r="JR5" s="8">
        <v>168</v>
      </c>
      <c r="JS5" s="8">
        <v>206</v>
      </c>
      <c r="JT5" s="8">
        <v>165</v>
      </c>
      <c r="JU5" s="8">
        <v>156</v>
      </c>
      <c r="JV5" s="8">
        <v>179</v>
      </c>
      <c r="JW5" s="8">
        <v>139</v>
      </c>
      <c r="JX5" s="221">
        <v>224</v>
      </c>
      <c r="JY5" s="8">
        <v>160</v>
      </c>
      <c r="JZ5" s="8">
        <v>143</v>
      </c>
      <c r="KA5" s="8">
        <v>183</v>
      </c>
      <c r="KB5" s="8">
        <v>167</v>
      </c>
      <c r="KC5" s="8">
        <v>147</v>
      </c>
      <c r="KD5" s="8">
        <v>176</v>
      </c>
      <c r="KE5" s="8">
        <v>178</v>
      </c>
      <c r="KF5" s="8">
        <v>149</v>
      </c>
      <c r="KG5" s="8">
        <v>173</v>
      </c>
      <c r="KH5" s="8">
        <v>171</v>
      </c>
      <c r="KI5" s="8">
        <v>148</v>
      </c>
      <c r="KJ5" s="8">
        <v>167</v>
      </c>
      <c r="KK5" s="8">
        <v>177</v>
      </c>
      <c r="KL5" s="8">
        <v>197</v>
      </c>
      <c r="KM5" s="8">
        <v>149</v>
      </c>
      <c r="KN5" s="8">
        <v>157</v>
      </c>
      <c r="KO5" s="8"/>
      <c r="KP5" s="8"/>
      <c r="KQ5" s="8"/>
      <c r="KR5" s="8">
        <v>171</v>
      </c>
      <c r="KS5" s="8">
        <v>179</v>
      </c>
      <c r="KT5" s="8">
        <v>169</v>
      </c>
      <c r="KU5" s="250">
        <v>256</v>
      </c>
      <c r="KV5" s="8">
        <v>178</v>
      </c>
      <c r="KW5" s="8">
        <v>161</v>
      </c>
      <c r="KX5" s="8">
        <v>156</v>
      </c>
      <c r="KY5" s="8">
        <v>179</v>
      </c>
      <c r="KZ5" s="8">
        <v>162</v>
      </c>
      <c r="LA5" s="8">
        <v>148</v>
      </c>
      <c r="LB5" s="8">
        <v>188</v>
      </c>
      <c r="LC5" s="8">
        <v>159</v>
      </c>
      <c r="LD5" s="8"/>
      <c r="LE5" s="8"/>
      <c r="LF5" s="8"/>
      <c r="LG5" s="8"/>
      <c r="LH5" s="8"/>
      <c r="LI5" s="8"/>
      <c r="LJ5" s="8">
        <v>190</v>
      </c>
      <c r="LK5" s="8">
        <v>152</v>
      </c>
      <c r="LL5" s="8">
        <v>143</v>
      </c>
      <c r="LM5" s="8"/>
      <c r="LN5" s="8"/>
      <c r="LO5" s="8"/>
      <c r="LP5" s="8"/>
      <c r="LQ5" s="8"/>
      <c r="LR5" s="8"/>
      <c r="LS5" s="8">
        <v>174</v>
      </c>
      <c r="LT5" s="8">
        <v>172</v>
      </c>
      <c r="LU5" s="8">
        <v>128</v>
      </c>
      <c r="LV5" s="8">
        <v>174</v>
      </c>
      <c r="LW5" s="8">
        <v>151</v>
      </c>
      <c r="LX5" s="8">
        <v>188</v>
      </c>
      <c r="LY5" s="8">
        <v>149</v>
      </c>
      <c r="LZ5" s="8">
        <v>139</v>
      </c>
      <c r="MA5" s="8">
        <v>172</v>
      </c>
      <c r="MB5" s="250">
        <v>205</v>
      </c>
      <c r="MC5" s="8">
        <v>179</v>
      </c>
      <c r="MD5" s="8">
        <v>162</v>
      </c>
      <c r="ME5" s="258"/>
      <c r="MF5" s="258"/>
      <c r="MG5" s="258"/>
      <c r="MH5" s="13"/>
      <c r="MI5" s="13"/>
      <c r="MJ5" s="13"/>
      <c r="MK5" s="13">
        <v>200</v>
      </c>
      <c r="ML5" s="13">
        <v>192</v>
      </c>
      <c r="MM5" s="13">
        <v>187</v>
      </c>
      <c r="MN5" s="13"/>
      <c r="MO5" s="13"/>
      <c r="MP5" s="13"/>
      <c r="MQ5" s="13"/>
      <c r="MR5" s="13"/>
      <c r="MS5" s="13">
        <v>171</v>
      </c>
      <c r="MT5" s="321">
        <v>199</v>
      </c>
      <c r="MU5" s="13">
        <v>164</v>
      </c>
      <c r="MV5" s="13">
        <v>193</v>
      </c>
      <c r="MW5" s="13">
        <v>212</v>
      </c>
      <c r="MX5" s="13">
        <v>141</v>
      </c>
      <c r="MY5" s="13">
        <v>167</v>
      </c>
      <c r="MZ5" s="13">
        <v>177</v>
      </c>
      <c r="NA5" s="13">
        <v>196</v>
      </c>
      <c r="NB5" s="13"/>
      <c r="NC5" s="13"/>
      <c r="ND5" s="13"/>
      <c r="NE5" s="13"/>
      <c r="NF5" s="13"/>
      <c r="NG5" s="13"/>
      <c r="NH5" s="13"/>
      <c r="NI5" s="13">
        <v>182</v>
      </c>
      <c r="NJ5" s="13">
        <v>182</v>
      </c>
      <c r="NK5" s="13">
        <v>160</v>
      </c>
      <c r="NL5" s="13">
        <v>181</v>
      </c>
      <c r="NM5" s="13">
        <v>152</v>
      </c>
      <c r="NN5" s="13">
        <v>175</v>
      </c>
      <c r="NO5" s="13">
        <v>144</v>
      </c>
      <c r="NP5" s="13">
        <v>214</v>
      </c>
      <c r="NQ5" s="13">
        <v>159</v>
      </c>
      <c r="NR5" s="13">
        <v>192</v>
      </c>
      <c r="NS5" s="13">
        <v>201</v>
      </c>
      <c r="NT5" s="13">
        <v>237</v>
      </c>
      <c r="NU5" s="13">
        <v>201</v>
      </c>
      <c r="NV5" s="13">
        <v>171</v>
      </c>
      <c r="NW5" s="13">
        <v>158</v>
      </c>
      <c r="NX5" s="13"/>
      <c r="NY5" s="13"/>
      <c r="NZ5" s="13"/>
      <c r="OA5" s="13"/>
      <c r="OB5" s="13"/>
      <c r="OC5" s="13"/>
      <c r="OD5" s="13">
        <v>161</v>
      </c>
      <c r="OE5" s="13">
        <v>170</v>
      </c>
      <c r="OF5" s="13">
        <v>202</v>
      </c>
      <c r="OG5" s="13">
        <v>152</v>
      </c>
      <c r="OH5" s="13">
        <v>162</v>
      </c>
      <c r="OI5" s="13">
        <v>169</v>
      </c>
      <c r="OJ5" s="8"/>
      <c r="OK5" s="36">
        <f>SUM(OG5:OI5)</f>
        <v>483</v>
      </c>
      <c r="OL5" s="10">
        <f t="shared" ref="OL5:OL7" si="2">IFERROR(AVERAGE(OG5:OI5),0)</f>
        <v>161</v>
      </c>
      <c r="OM5" s="10">
        <f>IFERROR(SUM(IY5:MQ5)/COUNTIF(IY5:MQ5, "&gt;0"),0)</f>
        <v>171.87301587301587</v>
      </c>
      <c r="ON5" s="10">
        <f>IFERROR(SUM(MS5:OJ5)/COUNTIF(MS5:OJ5, "&gt;0"),0)</f>
        <v>178.16666666666666</v>
      </c>
      <c r="OO5" s="10">
        <f t="shared" si="1"/>
        <v>165.14671814671814</v>
      </c>
    </row>
    <row r="6" spans="1:412">
      <c r="A6" s="8" t="s">
        <v>13</v>
      </c>
      <c r="B6" s="8" t="str">
        <f>VLOOKUP(A6,'미니게임_DATA(순)'!$A$4:$B$60,2,0)</f>
        <v>Y</v>
      </c>
      <c r="C6" s="13"/>
      <c r="D6" s="13"/>
      <c r="E6" s="13"/>
      <c r="F6" s="13">
        <v>149</v>
      </c>
      <c r="G6" s="13">
        <v>115</v>
      </c>
      <c r="H6" s="27">
        <v>212</v>
      </c>
      <c r="I6" s="13">
        <v>160</v>
      </c>
      <c r="J6" s="13">
        <v>114</v>
      </c>
      <c r="K6" s="13">
        <v>178</v>
      </c>
      <c r="L6" s="18">
        <v>148</v>
      </c>
      <c r="M6" s="18">
        <v>127</v>
      </c>
      <c r="N6" s="18">
        <v>128</v>
      </c>
      <c r="O6" s="18">
        <v>163</v>
      </c>
      <c r="P6" s="18">
        <v>156</v>
      </c>
      <c r="Q6" s="18">
        <v>189</v>
      </c>
      <c r="R6" s="18">
        <v>181</v>
      </c>
      <c r="S6" s="18">
        <v>138</v>
      </c>
      <c r="T6" s="18">
        <v>133</v>
      </c>
      <c r="U6" s="18">
        <v>148</v>
      </c>
      <c r="V6" s="18">
        <v>188</v>
      </c>
      <c r="W6" s="18">
        <v>149</v>
      </c>
      <c r="X6" s="18">
        <v>158</v>
      </c>
      <c r="Y6" s="18">
        <v>175</v>
      </c>
      <c r="Z6" s="18">
        <v>134</v>
      </c>
      <c r="AA6" s="18">
        <v>163</v>
      </c>
      <c r="AB6" s="18">
        <v>183</v>
      </c>
      <c r="AC6" s="20">
        <v>214</v>
      </c>
      <c r="AD6" s="18">
        <v>151</v>
      </c>
      <c r="AE6" s="18">
        <v>167</v>
      </c>
      <c r="AF6" s="18">
        <v>194</v>
      </c>
      <c r="AG6" s="18">
        <v>186</v>
      </c>
      <c r="AH6" s="18">
        <v>185</v>
      </c>
      <c r="AI6" s="18">
        <v>182</v>
      </c>
      <c r="AJ6" s="18"/>
      <c r="AK6" s="18"/>
      <c r="AL6" s="18"/>
      <c r="AM6" s="18">
        <v>175</v>
      </c>
      <c r="AN6" s="18">
        <v>199</v>
      </c>
      <c r="AO6" s="20">
        <v>210</v>
      </c>
      <c r="AP6" s="18">
        <v>146</v>
      </c>
      <c r="AQ6" s="18">
        <v>153</v>
      </c>
      <c r="AR6" s="18">
        <v>164</v>
      </c>
      <c r="AS6" s="18">
        <v>165</v>
      </c>
      <c r="AT6" s="18">
        <v>148</v>
      </c>
      <c r="AU6" s="18">
        <v>123</v>
      </c>
      <c r="AV6" s="18">
        <v>143</v>
      </c>
      <c r="AW6" s="18">
        <v>136</v>
      </c>
      <c r="AX6" s="18">
        <v>160</v>
      </c>
      <c r="AY6" s="18">
        <v>180</v>
      </c>
      <c r="AZ6" s="18">
        <v>192</v>
      </c>
      <c r="BA6" s="18">
        <v>141</v>
      </c>
      <c r="BB6" s="20">
        <v>207</v>
      </c>
      <c r="BC6" s="18">
        <v>179</v>
      </c>
      <c r="BD6" s="18"/>
      <c r="BE6" s="18">
        <v>153</v>
      </c>
      <c r="BF6" s="18">
        <v>163</v>
      </c>
      <c r="BG6" s="18">
        <v>138</v>
      </c>
      <c r="BH6" s="18">
        <v>177</v>
      </c>
      <c r="BI6" s="18">
        <v>148</v>
      </c>
      <c r="BJ6" s="18">
        <v>178</v>
      </c>
      <c r="BK6" s="18">
        <v>129</v>
      </c>
      <c r="BL6" s="18">
        <v>136</v>
      </c>
      <c r="BM6" s="18">
        <v>146</v>
      </c>
      <c r="BN6" s="18">
        <v>196</v>
      </c>
      <c r="BO6" s="18">
        <v>171</v>
      </c>
      <c r="BP6" s="18">
        <v>168</v>
      </c>
      <c r="BQ6" s="18">
        <v>150</v>
      </c>
      <c r="BR6" s="18">
        <v>188</v>
      </c>
      <c r="BS6" s="18">
        <v>155</v>
      </c>
      <c r="BT6" s="18"/>
      <c r="BU6" s="18"/>
      <c r="BV6" s="18"/>
      <c r="BW6" s="18">
        <v>131</v>
      </c>
      <c r="BX6" s="18">
        <v>170</v>
      </c>
      <c r="BY6" s="18">
        <v>151</v>
      </c>
      <c r="BZ6" s="18">
        <v>167</v>
      </c>
      <c r="CA6" s="18">
        <v>122</v>
      </c>
      <c r="CB6" s="18">
        <v>168</v>
      </c>
      <c r="CC6" s="18">
        <v>157</v>
      </c>
      <c r="CD6" s="18"/>
      <c r="CE6" s="18"/>
      <c r="CF6" s="18"/>
      <c r="CG6" s="18"/>
      <c r="CH6" s="20">
        <v>200</v>
      </c>
      <c r="CI6" s="18">
        <v>128</v>
      </c>
      <c r="CJ6" s="18">
        <v>190</v>
      </c>
      <c r="CK6" s="21">
        <v>234</v>
      </c>
      <c r="CL6" s="18">
        <v>191</v>
      </c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>
        <v>150</v>
      </c>
      <c r="DF6" s="18">
        <v>167</v>
      </c>
      <c r="DG6" s="18">
        <v>150</v>
      </c>
      <c r="DH6" s="18">
        <v>158</v>
      </c>
      <c r="DI6" s="18">
        <v>141</v>
      </c>
      <c r="DJ6" s="18">
        <v>169</v>
      </c>
      <c r="DK6" s="18"/>
      <c r="DL6" s="18"/>
      <c r="DM6" s="18"/>
      <c r="DN6" s="18"/>
      <c r="DO6" s="18">
        <v>147</v>
      </c>
      <c r="DP6" s="18">
        <v>193</v>
      </c>
      <c r="DQ6" s="18">
        <v>147</v>
      </c>
      <c r="DR6" s="18">
        <v>170</v>
      </c>
      <c r="DS6" s="18">
        <v>175</v>
      </c>
      <c r="DT6" s="18">
        <v>163</v>
      </c>
      <c r="DU6" s="18">
        <v>132</v>
      </c>
      <c r="DV6" s="18">
        <v>151</v>
      </c>
      <c r="DW6" s="18">
        <v>142</v>
      </c>
      <c r="DX6" s="18">
        <v>152</v>
      </c>
      <c r="DY6" s="18">
        <v>158</v>
      </c>
      <c r="DZ6" s="18">
        <v>126</v>
      </c>
      <c r="EA6" s="18">
        <v>141</v>
      </c>
      <c r="EB6" s="18"/>
      <c r="EC6" s="18">
        <v>125</v>
      </c>
      <c r="ED6" s="18"/>
      <c r="EE6" s="18"/>
      <c r="EF6" s="18"/>
      <c r="EG6" s="18"/>
      <c r="EH6" s="18"/>
      <c r="EI6" s="18">
        <v>154</v>
      </c>
      <c r="EJ6" s="18">
        <v>141</v>
      </c>
      <c r="EK6" s="18">
        <v>128</v>
      </c>
      <c r="EL6" s="18">
        <v>139</v>
      </c>
      <c r="EM6" s="18">
        <v>149</v>
      </c>
      <c r="EN6" s="18">
        <v>192</v>
      </c>
      <c r="EO6" s="18">
        <v>151</v>
      </c>
      <c r="EP6" s="18">
        <v>166</v>
      </c>
      <c r="EQ6" s="20">
        <v>212</v>
      </c>
      <c r="ER6" s="18">
        <v>144</v>
      </c>
      <c r="ES6" s="18">
        <v>160</v>
      </c>
      <c r="ET6" s="18">
        <v>162</v>
      </c>
      <c r="EU6" s="18">
        <v>116</v>
      </c>
      <c r="EV6" s="18">
        <v>182</v>
      </c>
      <c r="EW6" s="18">
        <v>150</v>
      </c>
      <c r="EX6" s="18">
        <v>141</v>
      </c>
      <c r="EY6" s="18">
        <v>160</v>
      </c>
      <c r="EZ6" s="18">
        <v>125</v>
      </c>
      <c r="FA6" s="18">
        <v>160</v>
      </c>
      <c r="FB6" s="18">
        <v>127</v>
      </c>
      <c r="FC6" s="18">
        <v>131</v>
      </c>
      <c r="FD6" s="18">
        <v>173</v>
      </c>
      <c r="FE6" s="18">
        <v>152</v>
      </c>
      <c r="FF6" s="18">
        <v>146</v>
      </c>
      <c r="FG6" s="18">
        <v>196</v>
      </c>
      <c r="FH6" s="18">
        <v>170</v>
      </c>
      <c r="FI6" s="18">
        <v>188</v>
      </c>
      <c r="FJ6" s="18">
        <v>158</v>
      </c>
      <c r="FK6" s="18">
        <v>193</v>
      </c>
      <c r="FL6" s="18">
        <v>191</v>
      </c>
      <c r="FM6" s="18">
        <v>175</v>
      </c>
      <c r="FN6" s="18">
        <v>163</v>
      </c>
      <c r="FO6" s="18">
        <v>157</v>
      </c>
      <c r="FP6" s="18">
        <v>97</v>
      </c>
      <c r="FQ6" s="18">
        <v>166</v>
      </c>
      <c r="FR6" s="18">
        <v>156</v>
      </c>
      <c r="FS6" s="18"/>
      <c r="FT6" s="18"/>
      <c r="FU6" s="18"/>
      <c r="FV6" s="18">
        <v>182</v>
      </c>
      <c r="FW6" s="18">
        <v>144</v>
      </c>
      <c r="FX6" s="18">
        <v>177</v>
      </c>
      <c r="FY6" s="18">
        <v>190</v>
      </c>
      <c r="FZ6" s="18">
        <v>157</v>
      </c>
      <c r="GA6" s="18">
        <v>190</v>
      </c>
      <c r="GB6" s="18"/>
      <c r="GC6" s="18">
        <v>194</v>
      </c>
      <c r="GD6" s="18">
        <v>173</v>
      </c>
      <c r="GE6" s="18">
        <v>144</v>
      </c>
      <c r="GF6" s="18"/>
      <c r="GG6" s="18"/>
      <c r="GH6" s="18"/>
      <c r="GI6" s="18">
        <v>172</v>
      </c>
      <c r="GJ6" s="18">
        <v>148</v>
      </c>
      <c r="GK6" s="18">
        <v>195</v>
      </c>
      <c r="GL6" s="18">
        <v>116</v>
      </c>
      <c r="GM6" s="18">
        <v>169</v>
      </c>
      <c r="GN6" s="18">
        <v>162</v>
      </c>
      <c r="GO6" s="18"/>
      <c r="GP6" s="18"/>
      <c r="GQ6" s="18"/>
      <c r="GR6" s="18">
        <v>152</v>
      </c>
      <c r="GS6" s="18">
        <v>164</v>
      </c>
      <c r="GT6" s="18">
        <v>188</v>
      </c>
      <c r="GU6" s="18">
        <v>171</v>
      </c>
      <c r="GV6" s="18">
        <v>161</v>
      </c>
      <c r="GW6" s="18">
        <v>118</v>
      </c>
      <c r="GX6" s="18">
        <v>166</v>
      </c>
      <c r="GY6" s="18">
        <v>139</v>
      </c>
      <c r="GZ6" s="19">
        <v>243</v>
      </c>
      <c r="HA6" s="18">
        <v>177</v>
      </c>
      <c r="HB6" s="18">
        <v>192</v>
      </c>
      <c r="HC6" s="18">
        <v>178</v>
      </c>
      <c r="HD6" s="18">
        <v>133</v>
      </c>
      <c r="HE6" s="18">
        <v>117</v>
      </c>
      <c r="HF6" s="18">
        <v>202</v>
      </c>
      <c r="HG6" s="18">
        <v>132</v>
      </c>
      <c r="HH6" s="18">
        <v>142</v>
      </c>
      <c r="HI6" s="18">
        <v>156</v>
      </c>
      <c r="HJ6" s="18">
        <v>164</v>
      </c>
      <c r="HK6" s="18">
        <v>136</v>
      </c>
      <c r="HL6" s="18">
        <v>199</v>
      </c>
      <c r="HM6" s="18">
        <v>158</v>
      </c>
      <c r="HN6" s="18">
        <v>222</v>
      </c>
      <c r="HO6" s="18">
        <v>152</v>
      </c>
      <c r="HP6" s="18">
        <v>173</v>
      </c>
      <c r="HQ6" s="18">
        <v>183</v>
      </c>
      <c r="HR6" s="18">
        <v>196</v>
      </c>
      <c r="HS6" s="18">
        <v>199</v>
      </c>
      <c r="HT6" s="18">
        <v>169</v>
      </c>
      <c r="HU6" s="18">
        <v>148</v>
      </c>
      <c r="HV6" s="18">
        <v>214</v>
      </c>
      <c r="HW6" s="18">
        <v>147</v>
      </c>
      <c r="HX6" s="18">
        <v>155</v>
      </c>
      <c r="HY6" s="28">
        <v>148</v>
      </c>
      <c r="HZ6" s="28">
        <v>156</v>
      </c>
      <c r="IA6" s="28">
        <v>153</v>
      </c>
      <c r="IB6" s="18">
        <v>219</v>
      </c>
      <c r="IC6" s="18">
        <v>154</v>
      </c>
      <c r="ID6" s="18">
        <v>181</v>
      </c>
      <c r="IE6" s="18"/>
      <c r="IF6" s="18"/>
      <c r="IG6" s="18"/>
      <c r="IH6" s="18">
        <v>139</v>
      </c>
      <c r="II6" s="18">
        <v>183</v>
      </c>
      <c r="IJ6" s="18">
        <v>171</v>
      </c>
      <c r="IK6" s="18">
        <v>124</v>
      </c>
      <c r="IL6" s="18">
        <v>145</v>
      </c>
      <c r="IM6" s="18">
        <v>207</v>
      </c>
      <c r="IN6" s="18">
        <v>194</v>
      </c>
      <c r="IO6" s="18">
        <v>161</v>
      </c>
      <c r="IP6" s="18">
        <v>136</v>
      </c>
      <c r="IQ6" s="18">
        <v>161</v>
      </c>
      <c r="IR6" s="18">
        <v>128</v>
      </c>
      <c r="IS6" s="18">
        <v>139</v>
      </c>
      <c r="IT6" s="18"/>
      <c r="IU6" s="18"/>
      <c r="IV6" s="18"/>
      <c r="IW6" s="18"/>
      <c r="IX6" s="18"/>
      <c r="IY6" s="18"/>
      <c r="IZ6" s="18"/>
      <c r="JA6" s="18"/>
      <c r="JB6" s="18">
        <v>125</v>
      </c>
      <c r="JC6" s="18">
        <v>170</v>
      </c>
      <c r="JD6" s="18">
        <v>139</v>
      </c>
      <c r="JE6" s="18"/>
      <c r="JF6" s="18">
        <v>154</v>
      </c>
      <c r="JG6" s="18">
        <v>133</v>
      </c>
      <c r="JH6" s="8">
        <v>128</v>
      </c>
      <c r="JI6" s="8">
        <v>168</v>
      </c>
      <c r="JJ6" s="8">
        <v>120</v>
      </c>
      <c r="JK6" s="8">
        <v>185</v>
      </c>
      <c r="JL6" s="8">
        <v>159</v>
      </c>
      <c r="JM6" s="8">
        <v>145</v>
      </c>
      <c r="JN6" s="8">
        <v>153</v>
      </c>
      <c r="JO6" s="8">
        <v>205</v>
      </c>
      <c r="JP6" s="8">
        <v>174</v>
      </c>
      <c r="JQ6" s="8">
        <v>192</v>
      </c>
      <c r="JR6" s="8">
        <v>193</v>
      </c>
      <c r="JS6" s="8">
        <v>146</v>
      </c>
      <c r="JT6" s="8">
        <v>153</v>
      </c>
      <c r="JU6" s="8">
        <v>188</v>
      </c>
      <c r="JV6" s="8">
        <v>144</v>
      </c>
      <c r="JW6" s="8"/>
      <c r="JX6" s="8"/>
      <c r="JY6" s="8"/>
      <c r="JZ6" s="8"/>
      <c r="KA6" s="8">
        <v>178</v>
      </c>
      <c r="KB6" s="8">
        <v>167</v>
      </c>
      <c r="KC6" s="8">
        <v>155</v>
      </c>
      <c r="KD6" s="8">
        <v>181</v>
      </c>
      <c r="KE6" s="8">
        <v>191</v>
      </c>
      <c r="KF6" s="8">
        <v>147</v>
      </c>
      <c r="KG6" s="8">
        <v>152</v>
      </c>
      <c r="KH6" s="8">
        <v>181</v>
      </c>
      <c r="KI6" s="8">
        <v>151</v>
      </c>
      <c r="KJ6" s="8">
        <v>180</v>
      </c>
      <c r="KK6" s="8">
        <v>172</v>
      </c>
      <c r="KL6" s="8">
        <v>144</v>
      </c>
      <c r="KM6" s="8">
        <v>146</v>
      </c>
      <c r="KN6" s="8">
        <v>122</v>
      </c>
      <c r="KO6" s="8">
        <v>167</v>
      </c>
      <c r="KP6" s="8">
        <v>144</v>
      </c>
      <c r="KQ6" s="8">
        <v>170</v>
      </c>
      <c r="KR6" s="8">
        <v>144</v>
      </c>
      <c r="KS6" s="8">
        <v>201</v>
      </c>
      <c r="KT6" s="8">
        <v>181</v>
      </c>
      <c r="KU6" s="8">
        <v>157</v>
      </c>
      <c r="KV6" s="8">
        <v>167</v>
      </c>
      <c r="KW6" s="8">
        <v>147</v>
      </c>
      <c r="KX6" s="8">
        <v>116</v>
      </c>
      <c r="KY6" s="8">
        <v>87</v>
      </c>
      <c r="KZ6" s="8">
        <v>150</v>
      </c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>
        <v>198</v>
      </c>
      <c r="LN6" s="8">
        <v>189</v>
      </c>
      <c r="LO6" s="8">
        <v>145</v>
      </c>
      <c r="LP6" s="8">
        <v>203</v>
      </c>
      <c r="LQ6" s="8">
        <v>214</v>
      </c>
      <c r="LR6" s="8">
        <v>175</v>
      </c>
      <c r="LS6" s="8"/>
      <c r="LT6" s="8"/>
      <c r="LU6" s="8"/>
      <c r="LV6" s="8">
        <v>151</v>
      </c>
      <c r="LW6" s="8">
        <v>199</v>
      </c>
      <c r="LX6" s="8">
        <v>204</v>
      </c>
      <c r="LY6" s="8">
        <v>181</v>
      </c>
      <c r="LZ6" s="8">
        <v>252</v>
      </c>
      <c r="MA6" s="8">
        <v>167</v>
      </c>
      <c r="MB6" s="8">
        <v>241</v>
      </c>
      <c r="MC6" s="8">
        <v>172</v>
      </c>
      <c r="MD6" s="8">
        <v>160</v>
      </c>
      <c r="ME6" s="154">
        <v>189</v>
      </c>
      <c r="MF6" s="154">
        <v>177</v>
      </c>
      <c r="MG6" s="154">
        <v>214</v>
      </c>
      <c r="MH6" s="13">
        <v>195</v>
      </c>
      <c r="MI6" s="13">
        <v>180</v>
      </c>
      <c r="MJ6" s="13">
        <v>145</v>
      </c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>
        <v>180</v>
      </c>
      <c r="NP6" s="13">
        <v>170</v>
      </c>
      <c r="NQ6" s="13">
        <v>180</v>
      </c>
      <c r="NR6" s="13"/>
      <c r="NS6" s="13"/>
      <c r="NT6" s="13"/>
      <c r="NU6" s="13">
        <v>123</v>
      </c>
      <c r="NV6" s="13">
        <v>149</v>
      </c>
      <c r="NW6" s="13">
        <v>150</v>
      </c>
      <c r="NX6" s="13">
        <v>215</v>
      </c>
      <c r="NY6" s="13">
        <v>175</v>
      </c>
      <c r="NZ6" s="13">
        <v>115</v>
      </c>
      <c r="OA6" s="13">
        <v>166</v>
      </c>
      <c r="OB6" s="13">
        <v>205</v>
      </c>
      <c r="OC6" s="13">
        <v>186</v>
      </c>
      <c r="OD6" s="13">
        <v>172</v>
      </c>
      <c r="OE6" s="13">
        <v>223</v>
      </c>
      <c r="OF6" s="13">
        <v>168</v>
      </c>
      <c r="OG6" s="13">
        <v>146</v>
      </c>
      <c r="OH6" s="13">
        <v>154</v>
      </c>
      <c r="OI6" s="13">
        <v>177</v>
      </c>
      <c r="OJ6" s="8"/>
      <c r="OK6" s="36">
        <f>SUM(OG6:OI6)</f>
        <v>477</v>
      </c>
      <c r="OL6" s="10">
        <f t="shared" si="2"/>
        <v>159</v>
      </c>
      <c r="OM6" s="10">
        <f>IFERROR(SUM(IY6:MQ6)/COUNTIF(IY6:MQ6, "&gt;0"),0)</f>
        <v>167.50746268656715</v>
      </c>
      <c r="ON6" s="10">
        <f>IFERROR(SUM(MS6:OJ6)/COUNTIF(MS6:OJ6, "&gt;0"),0)</f>
        <v>169.66666666666666</v>
      </c>
      <c r="OO6" s="10">
        <f t="shared" si="1"/>
        <v>163.90391459074732</v>
      </c>
      <c r="OR6" s="256"/>
    </row>
    <row r="7" spans="1:412" ht="18.75">
      <c r="A7" s="8" t="s">
        <v>10</v>
      </c>
      <c r="B7" s="8" t="str">
        <f>VLOOKUP(A7,'미니게임_DATA(순)'!$A$4:$B$60,2,0)</f>
        <v>Y</v>
      </c>
      <c r="C7" s="13"/>
      <c r="D7" s="13"/>
      <c r="E7" s="13"/>
      <c r="F7" s="13">
        <v>126</v>
      </c>
      <c r="G7" s="13">
        <v>146</v>
      </c>
      <c r="H7" s="13">
        <v>128</v>
      </c>
      <c r="I7" s="13"/>
      <c r="J7" s="13"/>
      <c r="K7" s="13"/>
      <c r="L7" s="18"/>
      <c r="M7" s="18"/>
      <c r="N7" s="18"/>
      <c r="O7" s="18"/>
      <c r="P7" s="18"/>
      <c r="Q7" s="18"/>
      <c r="R7" s="18">
        <v>138</v>
      </c>
      <c r="S7" s="18">
        <v>149</v>
      </c>
      <c r="T7" s="18">
        <v>175</v>
      </c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>
        <v>116</v>
      </c>
      <c r="CL7" s="18">
        <v>180</v>
      </c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>
        <v>146</v>
      </c>
      <c r="FR7" s="18">
        <v>144</v>
      </c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>
        <v>185</v>
      </c>
      <c r="GD7" s="18">
        <v>176</v>
      </c>
      <c r="GE7" s="18">
        <v>152</v>
      </c>
      <c r="GF7" s="18"/>
      <c r="GG7" s="18"/>
      <c r="GH7" s="18"/>
      <c r="GI7" s="18">
        <v>173</v>
      </c>
      <c r="GJ7" s="18">
        <v>161</v>
      </c>
      <c r="GK7" s="18">
        <v>160</v>
      </c>
      <c r="GL7" s="18"/>
      <c r="GM7" s="18"/>
      <c r="GN7" s="18"/>
      <c r="GO7" s="18"/>
      <c r="GP7" s="18"/>
      <c r="GQ7" s="18"/>
      <c r="GR7" s="18">
        <v>138</v>
      </c>
      <c r="GS7" s="18">
        <v>122</v>
      </c>
      <c r="GT7" s="18">
        <v>164</v>
      </c>
      <c r="GU7" s="18"/>
      <c r="GV7" s="18"/>
      <c r="GW7" s="18"/>
      <c r="GX7" s="18"/>
      <c r="GY7" s="18"/>
      <c r="GZ7" s="18"/>
      <c r="HA7" s="18">
        <v>139</v>
      </c>
      <c r="HB7" s="18">
        <v>147</v>
      </c>
      <c r="HC7" s="18">
        <v>147</v>
      </c>
      <c r="HD7" s="18">
        <v>154</v>
      </c>
      <c r="HE7" s="18">
        <v>178</v>
      </c>
      <c r="HF7" s="18">
        <v>151</v>
      </c>
      <c r="HG7" s="18">
        <v>164</v>
      </c>
      <c r="HH7" s="18">
        <v>154</v>
      </c>
      <c r="HI7" s="18">
        <v>143</v>
      </c>
      <c r="HJ7" s="18">
        <v>137</v>
      </c>
      <c r="HK7" s="18">
        <v>156</v>
      </c>
      <c r="HL7" s="18">
        <v>182</v>
      </c>
      <c r="HM7" s="18">
        <v>166</v>
      </c>
      <c r="HN7" s="18">
        <v>149</v>
      </c>
      <c r="HO7" s="18">
        <v>165</v>
      </c>
      <c r="HP7" s="18"/>
      <c r="HQ7" s="18"/>
      <c r="HR7" s="18"/>
      <c r="HS7" s="18">
        <v>158</v>
      </c>
      <c r="HT7" s="18">
        <v>145</v>
      </c>
      <c r="HU7" s="18">
        <v>155</v>
      </c>
      <c r="HV7" s="18">
        <v>182</v>
      </c>
      <c r="HW7" s="18">
        <v>134</v>
      </c>
      <c r="HX7" s="18">
        <v>167</v>
      </c>
      <c r="HY7" s="28">
        <v>214</v>
      </c>
      <c r="HZ7" s="28">
        <v>184</v>
      </c>
      <c r="IA7" s="28">
        <v>145</v>
      </c>
      <c r="IB7" s="18"/>
      <c r="IC7" s="18"/>
      <c r="ID7" s="18"/>
      <c r="IE7" s="18">
        <v>144</v>
      </c>
      <c r="IF7" s="18">
        <v>100</v>
      </c>
      <c r="IG7" s="18">
        <v>150</v>
      </c>
      <c r="IH7" s="18">
        <v>126</v>
      </c>
      <c r="II7" s="18">
        <v>121</v>
      </c>
      <c r="IJ7" s="18">
        <v>177</v>
      </c>
      <c r="IK7" s="18"/>
      <c r="IL7" s="18"/>
      <c r="IM7" s="18"/>
      <c r="IN7" s="18"/>
      <c r="IO7" s="18"/>
      <c r="IP7" s="18"/>
      <c r="IQ7" s="18"/>
      <c r="IR7" s="18"/>
      <c r="IS7" s="18"/>
      <c r="IT7" s="18">
        <v>179</v>
      </c>
      <c r="IU7" s="18">
        <v>170</v>
      </c>
      <c r="IV7" s="18">
        <v>177</v>
      </c>
      <c r="IW7" s="18"/>
      <c r="IX7" s="18"/>
      <c r="IY7" s="18">
        <v>196</v>
      </c>
      <c r="IZ7" s="18">
        <v>175</v>
      </c>
      <c r="JA7" s="18">
        <v>147</v>
      </c>
      <c r="JB7" s="18">
        <v>135</v>
      </c>
      <c r="JC7" s="18">
        <v>125</v>
      </c>
      <c r="JD7" s="18">
        <v>131</v>
      </c>
      <c r="JE7" s="18">
        <v>174</v>
      </c>
      <c r="JF7" s="18">
        <v>171</v>
      </c>
      <c r="JG7" s="18">
        <v>168</v>
      </c>
      <c r="JH7" s="8">
        <v>165</v>
      </c>
      <c r="JI7" s="8">
        <v>147</v>
      </c>
      <c r="JJ7" s="8">
        <v>138</v>
      </c>
      <c r="JK7" s="8"/>
      <c r="JL7" s="8"/>
      <c r="JM7" s="8"/>
      <c r="JN7" s="8"/>
      <c r="JO7" s="8"/>
      <c r="JP7" s="8"/>
      <c r="JQ7" s="8">
        <v>148</v>
      </c>
      <c r="JR7" s="8">
        <v>172</v>
      </c>
      <c r="JS7" s="8">
        <v>165</v>
      </c>
      <c r="JT7" s="8">
        <v>216</v>
      </c>
      <c r="JU7" s="8">
        <v>192</v>
      </c>
      <c r="JV7" s="8">
        <v>133</v>
      </c>
      <c r="JW7" s="8"/>
      <c r="JX7" s="8"/>
      <c r="JY7" s="8"/>
      <c r="JZ7" s="8"/>
      <c r="KA7" s="8"/>
      <c r="KB7" s="8"/>
      <c r="KC7" s="8">
        <v>180</v>
      </c>
      <c r="KD7" s="8">
        <v>167</v>
      </c>
      <c r="KE7" s="8">
        <v>133</v>
      </c>
      <c r="KF7" s="8">
        <v>179</v>
      </c>
      <c r="KG7" s="8">
        <v>180</v>
      </c>
      <c r="KH7" s="8">
        <v>158</v>
      </c>
      <c r="KI7" s="8">
        <v>200</v>
      </c>
      <c r="KJ7" s="8">
        <v>184</v>
      </c>
      <c r="KK7" s="8">
        <v>172</v>
      </c>
      <c r="KL7" s="8">
        <v>196</v>
      </c>
      <c r="KM7" s="8">
        <v>232</v>
      </c>
      <c r="KN7" s="8">
        <v>135</v>
      </c>
      <c r="KO7" s="8">
        <v>159</v>
      </c>
      <c r="KP7" s="8">
        <v>151</v>
      </c>
      <c r="KQ7" s="8">
        <v>195</v>
      </c>
      <c r="KR7" s="8">
        <v>151</v>
      </c>
      <c r="KS7" s="8">
        <v>160</v>
      </c>
      <c r="KT7" s="8">
        <v>167</v>
      </c>
      <c r="KU7" s="8">
        <v>212</v>
      </c>
      <c r="KV7" s="8">
        <v>176</v>
      </c>
      <c r="KW7" s="8">
        <v>148</v>
      </c>
      <c r="KX7" s="8">
        <v>184</v>
      </c>
      <c r="KY7" s="8">
        <v>144</v>
      </c>
      <c r="KZ7" s="8">
        <v>154</v>
      </c>
      <c r="LA7" s="8"/>
      <c r="LB7" s="8"/>
      <c r="LC7" s="8"/>
      <c r="LD7" s="8">
        <v>180</v>
      </c>
      <c r="LE7" s="8">
        <v>156</v>
      </c>
      <c r="LF7" s="8">
        <v>108</v>
      </c>
      <c r="LG7" s="8"/>
      <c r="LH7" s="8"/>
      <c r="LI7" s="8"/>
      <c r="LJ7" s="8">
        <v>153</v>
      </c>
      <c r="LK7" s="8">
        <v>151</v>
      </c>
      <c r="LL7" s="8">
        <v>155</v>
      </c>
      <c r="LM7" s="8">
        <v>126</v>
      </c>
      <c r="LN7" s="8">
        <v>191</v>
      </c>
      <c r="LO7" s="8">
        <v>167</v>
      </c>
      <c r="LP7" s="8">
        <v>154</v>
      </c>
      <c r="LQ7" s="8">
        <v>169</v>
      </c>
      <c r="LR7" s="8">
        <v>135</v>
      </c>
      <c r="LS7" s="8">
        <v>167</v>
      </c>
      <c r="LT7" s="8">
        <v>187</v>
      </c>
      <c r="LU7" s="8">
        <v>178</v>
      </c>
      <c r="LV7" s="8"/>
      <c r="LW7" s="8"/>
      <c r="LX7" s="8"/>
      <c r="LY7" s="8">
        <v>157</v>
      </c>
      <c r="LZ7" s="8">
        <v>153</v>
      </c>
      <c r="MA7" s="8">
        <v>141</v>
      </c>
      <c r="MB7" s="8">
        <v>170</v>
      </c>
      <c r="MC7" s="8">
        <v>123</v>
      </c>
      <c r="MD7" s="8">
        <v>150</v>
      </c>
      <c r="ME7" s="8"/>
      <c r="MF7" s="8"/>
      <c r="MG7" s="8"/>
      <c r="MH7" s="13"/>
      <c r="MI7" s="13"/>
      <c r="MJ7" s="13"/>
      <c r="MK7" s="13">
        <v>128</v>
      </c>
      <c r="ML7" s="13">
        <v>196</v>
      </c>
      <c r="MM7" s="13">
        <v>166</v>
      </c>
      <c r="MN7" s="13"/>
      <c r="MO7" s="13"/>
      <c r="MP7" s="13"/>
      <c r="MQ7" s="13"/>
      <c r="MR7" s="13"/>
      <c r="MS7" s="13">
        <v>160</v>
      </c>
      <c r="MT7" s="13">
        <v>167</v>
      </c>
      <c r="MU7" s="13">
        <v>150</v>
      </c>
      <c r="MV7" s="13">
        <v>162</v>
      </c>
      <c r="MW7" s="13">
        <v>165</v>
      </c>
      <c r="MX7" s="13">
        <v>144</v>
      </c>
      <c r="MY7" s="13">
        <v>169</v>
      </c>
      <c r="MZ7" s="13">
        <v>201</v>
      </c>
      <c r="NA7" s="13">
        <v>164</v>
      </c>
      <c r="NB7" s="13">
        <v>189</v>
      </c>
      <c r="NC7" s="13">
        <v>196</v>
      </c>
      <c r="ND7" s="13">
        <v>182</v>
      </c>
      <c r="NE7" s="13">
        <v>139</v>
      </c>
      <c r="NF7" s="13">
        <v>191</v>
      </c>
      <c r="NG7" s="13">
        <v>204</v>
      </c>
      <c r="NH7" s="13">
        <v>173</v>
      </c>
      <c r="NI7" s="13"/>
      <c r="NJ7" s="13"/>
      <c r="NK7" s="13"/>
      <c r="NL7" s="13">
        <v>142</v>
      </c>
      <c r="NM7" s="13">
        <v>204</v>
      </c>
      <c r="NN7" s="13">
        <v>147</v>
      </c>
      <c r="NO7" s="13">
        <v>152</v>
      </c>
      <c r="NP7" s="13">
        <v>93</v>
      </c>
      <c r="NQ7" s="13">
        <v>139</v>
      </c>
      <c r="NR7" s="13">
        <v>192</v>
      </c>
      <c r="NS7" s="13">
        <v>151</v>
      </c>
      <c r="NT7" s="13">
        <v>163</v>
      </c>
      <c r="NU7" s="13">
        <v>190</v>
      </c>
      <c r="NV7" s="13">
        <v>159</v>
      </c>
      <c r="NW7" s="13">
        <v>143</v>
      </c>
      <c r="NX7" s="13">
        <v>134</v>
      </c>
      <c r="NY7" s="13">
        <v>169</v>
      </c>
      <c r="NZ7" s="13">
        <v>155</v>
      </c>
      <c r="OA7" s="13">
        <v>189</v>
      </c>
      <c r="OB7" s="321">
        <v>244</v>
      </c>
      <c r="OC7" s="13">
        <v>157</v>
      </c>
      <c r="OD7" s="13">
        <v>149</v>
      </c>
      <c r="OE7" s="13">
        <v>145</v>
      </c>
      <c r="OF7" s="13">
        <v>106</v>
      </c>
      <c r="OG7" s="13">
        <v>162</v>
      </c>
      <c r="OH7" s="13">
        <v>133</v>
      </c>
      <c r="OI7" s="13">
        <v>146</v>
      </c>
      <c r="OJ7" s="8"/>
      <c r="OK7" s="36">
        <f>SUM(OG7:OI7)</f>
        <v>441</v>
      </c>
      <c r="OL7" s="10">
        <f t="shared" si="2"/>
        <v>147</v>
      </c>
      <c r="OM7" s="10">
        <f>IFERROR(SUM(IY7:MQ7)/COUNTIF(IY7:MQ7, "&gt;0"),0)</f>
        <v>163.27272727272728</v>
      </c>
      <c r="ON7" s="10">
        <f>IFERROR(SUM(MS7:OJ7)/COUNTIF(MS7:OJ7, "&gt;0"),0)</f>
        <v>163</v>
      </c>
      <c r="OO7" s="10">
        <f t="shared" si="1"/>
        <v>160.34810126582278</v>
      </c>
      <c r="OR7" s="256"/>
    </row>
    <row r="8" spans="1:412" ht="16.5" hidden="1" customHeight="1">
      <c r="A8" s="8" t="s">
        <v>25</v>
      </c>
      <c r="B8" s="8" t="str">
        <f>VLOOKUP(A8,'미니게임_DATA(순)'!$A$4:$B$48,2,0)</f>
        <v>N</v>
      </c>
      <c r="C8" s="13"/>
      <c r="D8" s="13"/>
      <c r="E8" s="13"/>
      <c r="F8" s="13"/>
      <c r="G8" s="13"/>
      <c r="H8" s="13"/>
      <c r="I8" s="13"/>
      <c r="J8" s="13"/>
      <c r="K8" s="13"/>
      <c r="L8" s="18"/>
      <c r="M8" s="18"/>
      <c r="N8" s="20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>
        <v>80</v>
      </c>
      <c r="HE8" s="18">
        <v>97</v>
      </c>
      <c r="HF8" s="18">
        <v>82</v>
      </c>
      <c r="HG8" s="18">
        <v>87</v>
      </c>
      <c r="HH8" s="18">
        <v>74</v>
      </c>
      <c r="HI8" s="18">
        <v>114</v>
      </c>
      <c r="HJ8" s="18"/>
      <c r="HK8" s="18">
        <v>110</v>
      </c>
      <c r="HL8" s="18">
        <v>124</v>
      </c>
      <c r="HM8" s="18">
        <v>80</v>
      </c>
      <c r="HN8" s="18">
        <v>99</v>
      </c>
      <c r="HO8" s="18">
        <v>94</v>
      </c>
      <c r="HP8" s="18"/>
      <c r="HQ8" s="18"/>
      <c r="HR8" s="18"/>
      <c r="HS8" s="18">
        <v>77</v>
      </c>
      <c r="HT8" s="18">
        <v>88</v>
      </c>
      <c r="HU8" s="18">
        <v>87</v>
      </c>
      <c r="HV8" s="18">
        <v>92</v>
      </c>
      <c r="HW8" s="18">
        <v>108</v>
      </c>
      <c r="HX8" s="18">
        <v>99</v>
      </c>
      <c r="HY8" s="28">
        <v>125</v>
      </c>
      <c r="HZ8" s="28">
        <v>113</v>
      </c>
      <c r="IA8" s="28">
        <v>74</v>
      </c>
      <c r="IB8" s="18">
        <v>87</v>
      </c>
      <c r="IC8" s="18">
        <v>91</v>
      </c>
      <c r="ID8" s="18"/>
      <c r="IE8" s="18">
        <v>90</v>
      </c>
      <c r="IF8" s="18">
        <v>170</v>
      </c>
      <c r="IG8" s="18">
        <v>126</v>
      </c>
      <c r="IH8" s="18"/>
      <c r="II8" s="18">
        <v>81</v>
      </c>
      <c r="IJ8" s="18"/>
      <c r="IK8" s="18">
        <v>124</v>
      </c>
      <c r="IL8" s="18">
        <v>107</v>
      </c>
      <c r="IM8" s="18">
        <v>109</v>
      </c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>
        <v>139</v>
      </c>
      <c r="MJ8" s="8">
        <v>173</v>
      </c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36">
        <f>SUM(KF8:KH8)</f>
        <v>0</v>
      </c>
      <c r="OL8" s="10">
        <f>IFERROR(AVERAGE(KF8:KH8),0)</f>
        <v>0</v>
      </c>
      <c r="OM8" s="10">
        <f>IFERROR(SUM(IY8:OJ8)/COUNTIF(IY8:OJ8, "&gt;0"),0)</f>
        <v>156</v>
      </c>
      <c r="ON8" s="10"/>
      <c r="OO8" s="10">
        <f t="shared" si="1"/>
        <v>103.25806451612904</v>
      </c>
    </row>
    <row r="9" spans="1:412">
      <c r="A9" s="8" t="s">
        <v>281</v>
      </c>
      <c r="B9" s="8" t="str">
        <f>VLOOKUP(A9,'미니게임_DATA(순)'!$A$4:$B$60,2,0)</f>
        <v>Y</v>
      </c>
      <c r="C9" s="8"/>
      <c r="D9" s="8"/>
      <c r="E9" s="8"/>
      <c r="F9" s="8"/>
      <c r="G9" s="8"/>
      <c r="H9" s="8"/>
      <c r="I9" s="36" t="s">
        <v>306</v>
      </c>
      <c r="J9" s="10"/>
      <c r="K9" s="10"/>
      <c r="L9" s="10"/>
      <c r="M9" s="463"/>
      <c r="N9" s="463"/>
      <c r="O9" s="463"/>
      <c r="P9" s="463"/>
      <c r="Q9" s="463"/>
      <c r="R9" s="463"/>
      <c r="S9" s="463"/>
      <c r="T9" s="463"/>
      <c r="U9" s="463"/>
      <c r="V9" s="463"/>
      <c r="W9" s="463"/>
      <c r="X9" s="463"/>
      <c r="Y9" s="463"/>
      <c r="Z9" s="463"/>
      <c r="AA9" s="463"/>
      <c r="AB9" s="463"/>
      <c r="AC9" s="463"/>
      <c r="AD9" s="463"/>
      <c r="AE9" s="463"/>
      <c r="AF9" s="463"/>
      <c r="AG9" s="463"/>
      <c r="AH9" s="463"/>
      <c r="AI9" s="463"/>
      <c r="AJ9" s="463"/>
      <c r="AK9" s="463"/>
      <c r="AL9" s="463"/>
      <c r="AM9" s="463"/>
      <c r="AN9" s="463"/>
      <c r="AO9" s="463"/>
      <c r="AP9" s="463"/>
      <c r="AQ9" s="463"/>
      <c r="AR9" s="463"/>
      <c r="AS9" s="463"/>
      <c r="AT9" s="463"/>
      <c r="AU9" s="463"/>
      <c r="AV9" s="463"/>
      <c r="AW9" s="463"/>
      <c r="AX9" s="463"/>
      <c r="AY9" s="463"/>
      <c r="AZ9" s="463"/>
      <c r="BA9" s="463"/>
      <c r="BB9" s="463"/>
      <c r="BC9" s="463"/>
      <c r="BD9" s="463"/>
      <c r="BE9" s="463"/>
      <c r="BF9" s="463"/>
      <c r="BG9" s="463"/>
      <c r="BH9" s="463"/>
      <c r="BI9" s="463"/>
      <c r="BJ9" s="463"/>
      <c r="BK9" s="463"/>
      <c r="BL9" s="463"/>
      <c r="BM9" s="463"/>
      <c r="BN9" s="463"/>
      <c r="BO9" s="463"/>
      <c r="BP9" s="463"/>
      <c r="BQ9" s="463"/>
      <c r="BR9" s="463"/>
      <c r="BS9" s="463"/>
      <c r="BT9" s="463"/>
      <c r="BU9" s="463"/>
      <c r="BV9" s="463"/>
      <c r="BW9" s="463"/>
      <c r="BX9" s="463"/>
      <c r="BY9" s="463"/>
      <c r="BZ9" s="463"/>
      <c r="CA9" s="463"/>
      <c r="CB9" s="463"/>
      <c r="CC9" s="463"/>
      <c r="CD9" s="463"/>
      <c r="CE9" s="463"/>
      <c r="CF9" s="463"/>
      <c r="CG9" s="463"/>
      <c r="CH9" s="463"/>
      <c r="CI9" s="463"/>
      <c r="CJ9" s="463"/>
      <c r="CK9" s="463"/>
      <c r="CL9" s="463"/>
      <c r="CM9" s="463"/>
      <c r="CN9" s="463"/>
      <c r="CO9" s="463"/>
      <c r="CP9" s="463"/>
      <c r="CQ9" s="463"/>
      <c r="CR9" s="463"/>
      <c r="CS9" s="463"/>
      <c r="CT9" s="463"/>
      <c r="CU9" s="463"/>
      <c r="CV9" s="463"/>
      <c r="CW9" s="463"/>
      <c r="CX9" s="463"/>
      <c r="CY9" s="463"/>
      <c r="CZ9" s="463"/>
      <c r="DA9" s="463"/>
      <c r="DB9" s="463"/>
      <c r="DC9" s="463"/>
      <c r="DD9" s="463"/>
      <c r="DE9" s="463"/>
      <c r="DF9" s="463"/>
      <c r="DG9" s="463"/>
      <c r="DH9" s="463"/>
      <c r="DI9" s="463"/>
      <c r="DJ9" s="463"/>
      <c r="DK9" s="463"/>
      <c r="DL9" s="463"/>
      <c r="DM9" s="463"/>
      <c r="DN9" s="463"/>
      <c r="DO9" s="463"/>
      <c r="DP9" s="463"/>
      <c r="DQ9" s="463"/>
      <c r="DR9" s="463"/>
      <c r="DS9" s="463"/>
      <c r="DT9" s="463"/>
      <c r="DU9" s="463"/>
      <c r="DV9" s="463"/>
      <c r="DW9" s="463"/>
      <c r="DX9" s="463"/>
      <c r="DY9" s="463"/>
      <c r="DZ9" s="463"/>
      <c r="EA9" s="463"/>
      <c r="EB9" s="463"/>
      <c r="EC9" s="463"/>
      <c r="ED9" s="463"/>
      <c r="EE9" s="463"/>
      <c r="EF9" s="463"/>
      <c r="EG9" s="463"/>
      <c r="EH9" s="463"/>
      <c r="EI9" s="463"/>
      <c r="EJ9" s="463"/>
      <c r="EK9" s="463"/>
      <c r="EL9" s="463"/>
      <c r="EM9" s="463"/>
      <c r="EN9" s="463"/>
      <c r="EO9" s="463"/>
      <c r="EP9" s="463"/>
      <c r="EQ9" s="463"/>
      <c r="ER9" s="463"/>
      <c r="ES9" s="463"/>
      <c r="ET9" s="463"/>
      <c r="EU9" s="463"/>
      <c r="EV9" s="463"/>
      <c r="EW9" s="463"/>
      <c r="EX9" s="463"/>
      <c r="EY9" s="463"/>
      <c r="EZ9" s="463"/>
      <c r="FA9" s="463"/>
      <c r="FB9" s="463"/>
      <c r="FC9" s="463"/>
      <c r="FD9" s="463"/>
      <c r="FE9" s="463"/>
      <c r="FF9" s="463"/>
      <c r="FG9" s="463"/>
      <c r="FH9" s="463"/>
      <c r="FI9" s="463"/>
      <c r="FJ9" s="463"/>
      <c r="FK9" s="463"/>
      <c r="FL9" s="463"/>
      <c r="FM9" s="463"/>
      <c r="FN9" s="463"/>
      <c r="FO9" s="463"/>
      <c r="FP9" s="463"/>
      <c r="FQ9" s="463"/>
      <c r="FR9" s="463"/>
      <c r="FS9" s="463"/>
      <c r="FT9" s="463"/>
      <c r="FU9" s="463"/>
      <c r="FV9" s="463"/>
      <c r="FW9" s="463"/>
      <c r="FX9" s="463"/>
      <c r="FY9" s="463"/>
      <c r="FZ9" s="463"/>
      <c r="GA9" s="463"/>
      <c r="GB9" s="463"/>
      <c r="GC9" s="463"/>
      <c r="GD9" s="463"/>
      <c r="GE9" s="463"/>
      <c r="GF9" s="463"/>
      <c r="GG9" s="463"/>
      <c r="GH9" s="463"/>
      <c r="GI9" s="463"/>
      <c r="GJ9" s="463"/>
      <c r="GK9" s="463"/>
      <c r="GL9" s="463"/>
      <c r="GM9" s="463"/>
      <c r="GN9" s="463"/>
      <c r="GO9" s="463"/>
      <c r="GP9" s="463"/>
      <c r="GQ9" s="463"/>
      <c r="GR9" s="463"/>
      <c r="GS9" s="463"/>
      <c r="GT9" s="463"/>
      <c r="GU9" s="463"/>
      <c r="GV9" s="463"/>
      <c r="GW9" s="463"/>
      <c r="GX9" s="463"/>
      <c r="GY9" s="463"/>
      <c r="GZ9" s="463"/>
      <c r="HA9" s="463"/>
      <c r="HB9" s="463"/>
      <c r="HC9" s="463"/>
      <c r="HD9" s="463"/>
      <c r="HE9" s="463"/>
      <c r="HF9" s="463"/>
      <c r="HG9" s="463"/>
      <c r="HH9" s="463"/>
      <c r="HI9" s="463"/>
      <c r="HJ9" s="463"/>
      <c r="HK9" s="463"/>
      <c r="HL9" s="463"/>
      <c r="HM9" s="463"/>
      <c r="HN9" s="463"/>
      <c r="HO9" s="463"/>
      <c r="HP9" s="463"/>
      <c r="HQ9" s="463"/>
      <c r="HR9" s="463"/>
      <c r="HS9" s="463"/>
      <c r="HT9" s="463"/>
      <c r="HU9" s="463"/>
      <c r="HV9" s="463"/>
      <c r="HW9" s="463"/>
      <c r="HX9" s="463"/>
      <c r="HY9" s="463"/>
      <c r="HZ9" s="463"/>
      <c r="IA9" s="463"/>
      <c r="IB9" s="463"/>
      <c r="IC9" s="463"/>
      <c r="ID9" s="463"/>
      <c r="IE9" s="463"/>
      <c r="IF9" s="463"/>
      <c r="IG9" s="463"/>
      <c r="IH9" s="463"/>
      <c r="II9" s="463"/>
      <c r="IJ9" s="463"/>
      <c r="IK9" s="463"/>
      <c r="IL9" s="463"/>
      <c r="IM9" s="463"/>
      <c r="IN9" s="463"/>
      <c r="IO9" s="463"/>
      <c r="IP9" s="463"/>
      <c r="IQ9" s="463"/>
      <c r="IR9" s="463"/>
      <c r="IS9" s="463"/>
      <c r="IT9" s="463"/>
      <c r="IU9" s="463"/>
      <c r="IV9" s="463"/>
      <c r="IW9" s="463"/>
      <c r="IX9" s="463"/>
      <c r="IY9" s="463"/>
      <c r="IZ9" s="463"/>
      <c r="JA9" s="463"/>
      <c r="JB9" s="463"/>
      <c r="JC9" s="463"/>
      <c r="JD9" s="463"/>
      <c r="JE9" s="463"/>
      <c r="JF9" s="463"/>
      <c r="JG9" s="463"/>
      <c r="JH9" s="463"/>
      <c r="JI9" s="463"/>
      <c r="JJ9" s="463"/>
      <c r="JK9" s="463"/>
      <c r="JL9" s="463"/>
      <c r="JM9" s="463"/>
      <c r="JN9" s="463"/>
      <c r="JO9" s="463"/>
      <c r="JP9" s="463"/>
      <c r="JQ9" s="463"/>
      <c r="JR9" s="463"/>
      <c r="JS9" s="463"/>
      <c r="JT9" s="463"/>
      <c r="JU9" s="463"/>
      <c r="JV9" s="463"/>
      <c r="JW9" s="463"/>
      <c r="JX9" s="463"/>
      <c r="JY9" s="463"/>
      <c r="JZ9" s="463"/>
      <c r="KA9" s="463"/>
      <c r="KB9" s="463"/>
      <c r="KC9" s="463"/>
      <c r="KD9" s="463"/>
      <c r="KE9" s="463"/>
      <c r="KF9" s="463"/>
      <c r="KG9" s="463"/>
      <c r="KH9" s="463"/>
      <c r="KI9" s="463"/>
      <c r="KJ9" s="463"/>
      <c r="KK9" s="463"/>
      <c r="KL9" s="463"/>
      <c r="KM9" s="463"/>
      <c r="KN9" s="463"/>
      <c r="KO9" s="463"/>
      <c r="KP9" s="463"/>
      <c r="KQ9" s="463"/>
      <c r="KR9" s="463"/>
      <c r="KS9" s="463"/>
      <c r="KT9" s="463"/>
      <c r="KU9" s="463"/>
      <c r="KV9" s="463"/>
      <c r="KW9" s="463"/>
      <c r="KX9" s="463"/>
      <c r="KY9" s="463"/>
      <c r="KZ9" s="463"/>
      <c r="LA9" s="463"/>
      <c r="LB9" s="463"/>
      <c r="LC9" s="463"/>
      <c r="LD9" s="463"/>
      <c r="LE9" s="463"/>
      <c r="LF9" s="463"/>
      <c r="LG9" s="463"/>
      <c r="LH9" s="463"/>
      <c r="LI9" s="463"/>
      <c r="LJ9" s="463"/>
      <c r="LK9" s="463"/>
      <c r="LL9" s="463"/>
      <c r="LM9" s="463"/>
      <c r="LN9" s="463"/>
      <c r="LO9" s="463"/>
      <c r="LP9" s="463"/>
      <c r="LQ9" s="463"/>
      <c r="LR9" s="463"/>
      <c r="LS9" s="463"/>
      <c r="LT9" s="463"/>
      <c r="LU9" s="463"/>
      <c r="LV9" s="463">
        <v>111</v>
      </c>
      <c r="LW9" s="463">
        <v>113</v>
      </c>
      <c r="LX9" s="463">
        <v>114</v>
      </c>
      <c r="LY9" s="463">
        <v>106</v>
      </c>
      <c r="LZ9" s="463">
        <v>98</v>
      </c>
      <c r="MA9" s="463">
        <v>140</v>
      </c>
      <c r="MB9" s="463">
        <v>111</v>
      </c>
      <c r="MC9" s="463">
        <v>113</v>
      </c>
      <c r="MD9" s="463">
        <v>119</v>
      </c>
      <c r="ME9" s="99">
        <v>141</v>
      </c>
      <c r="MF9" s="99">
        <v>133</v>
      </c>
      <c r="MG9" s="99">
        <v>131</v>
      </c>
      <c r="MH9" s="13">
        <v>145</v>
      </c>
      <c r="MI9" s="13">
        <v>94</v>
      </c>
      <c r="MJ9" s="13">
        <v>137</v>
      </c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>
        <v>117</v>
      </c>
      <c r="MW9" s="13">
        <v>154</v>
      </c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>
        <v>120</v>
      </c>
      <c r="NP9" s="13">
        <v>121</v>
      </c>
      <c r="NQ9" s="13">
        <v>155</v>
      </c>
      <c r="NR9" s="13"/>
      <c r="NS9" s="13"/>
      <c r="NT9" s="13"/>
      <c r="NU9" s="13">
        <v>130</v>
      </c>
      <c r="NV9" s="13">
        <v>139</v>
      </c>
      <c r="NW9" s="13">
        <v>171</v>
      </c>
      <c r="NX9" s="13">
        <v>144</v>
      </c>
      <c r="NY9" s="13">
        <v>133</v>
      </c>
      <c r="NZ9" s="13">
        <v>148</v>
      </c>
      <c r="OA9" s="13">
        <v>176</v>
      </c>
      <c r="OB9" s="13">
        <v>122</v>
      </c>
      <c r="OC9" s="13">
        <v>110</v>
      </c>
      <c r="OD9" s="13">
        <v>164</v>
      </c>
      <c r="OE9" s="13">
        <v>162</v>
      </c>
      <c r="OF9" s="13">
        <v>140</v>
      </c>
      <c r="OG9" s="13">
        <v>161</v>
      </c>
      <c r="OH9" s="13">
        <v>124</v>
      </c>
      <c r="OI9" s="13">
        <v>136</v>
      </c>
      <c r="OJ9" s="8"/>
      <c r="OK9" s="36">
        <f t="shared" ref="OK9:OK20" si="3">SUM(OG9:OI9)</f>
        <v>421</v>
      </c>
      <c r="OL9" s="10">
        <f t="shared" ref="OL9:OL20" si="4">IFERROR(AVERAGE(OG9:OI9),0)</f>
        <v>140.33333333333334</v>
      </c>
      <c r="OM9" s="10">
        <f t="shared" ref="OM9:OM22" si="5">IFERROR(SUM(IY9:MQ9)/COUNTIF(IY9:MQ9, "&gt;0"),0)</f>
        <v>120.4</v>
      </c>
      <c r="ON9" s="10">
        <f t="shared" ref="ON9:ON22" si="6">IFERROR(SUM(MS9:OJ9)/COUNTIF(MS9:OJ9, "&gt;0"),0)</f>
        <v>141.35</v>
      </c>
      <c r="OO9" s="10">
        <f t="shared" si="1"/>
        <v>132.37142857142857</v>
      </c>
      <c r="OR9" s="256"/>
      <c r="OS9" s="242"/>
      <c r="OT9" s="242"/>
      <c r="OU9" s="242"/>
      <c r="OV9" s="256"/>
    </row>
    <row r="10" spans="1:412">
      <c r="A10" s="11" t="s">
        <v>12</v>
      </c>
      <c r="B10" s="8" t="str">
        <f>VLOOKUP(A10,'미니게임_DATA(순)'!$A$4:$B$60,2,0)</f>
        <v>Y</v>
      </c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>
        <v>78</v>
      </c>
      <c r="CT10" s="14">
        <v>86</v>
      </c>
      <c r="CU10" s="14">
        <v>106</v>
      </c>
      <c r="CV10" s="14"/>
      <c r="CW10" s="14"/>
      <c r="CX10" s="14"/>
      <c r="CY10" s="14"/>
      <c r="CZ10" s="14"/>
      <c r="DA10" s="14"/>
      <c r="DB10" s="14"/>
      <c r="DC10" s="14"/>
      <c r="DD10" s="14"/>
      <c r="DE10" s="14">
        <v>116</v>
      </c>
      <c r="DF10" s="14">
        <v>105</v>
      </c>
      <c r="DG10" s="14">
        <v>110</v>
      </c>
      <c r="DH10" s="14">
        <v>101</v>
      </c>
      <c r="DI10" s="14">
        <v>107</v>
      </c>
      <c r="DJ10" s="14">
        <v>113</v>
      </c>
      <c r="DK10" s="14">
        <v>111</v>
      </c>
      <c r="DL10" s="14">
        <v>112</v>
      </c>
      <c r="DM10" s="14">
        <v>68</v>
      </c>
      <c r="DN10" s="14">
        <v>95</v>
      </c>
      <c r="DO10" s="14"/>
      <c r="DP10" s="14"/>
      <c r="DQ10" s="14"/>
      <c r="DR10" s="14"/>
      <c r="DS10" s="14"/>
      <c r="DT10" s="14"/>
      <c r="DU10" s="14"/>
      <c r="DV10" s="14"/>
      <c r="DW10" s="14"/>
      <c r="DX10" s="14">
        <v>111</v>
      </c>
      <c r="DY10" s="14">
        <v>83</v>
      </c>
      <c r="DZ10" s="14">
        <v>104</v>
      </c>
      <c r="EA10" s="14">
        <v>97</v>
      </c>
      <c r="EB10" s="14">
        <v>112</v>
      </c>
      <c r="EC10" s="14">
        <v>97</v>
      </c>
      <c r="ED10" s="14">
        <v>118</v>
      </c>
      <c r="EE10" s="14">
        <v>112</v>
      </c>
      <c r="EF10" s="14">
        <v>138</v>
      </c>
      <c r="EG10" s="14"/>
      <c r="EH10" s="14"/>
      <c r="EI10" s="14">
        <v>109</v>
      </c>
      <c r="EJ10" s="14">
        <v>107</v>
      </c>
      <c r="EK10" s="14">
        <v>93</v>
      </c>
      <c r="EL10" s="14"/>
      <c r="EM10" s="14">
        <v>114</v>
      </c>
      <c r="EN10" s="14">
        <v>116</v>
      </c>
      <c r="EO10" s="14">
        <v>88</v>
      </c>
      <c r="EP10" s="14">
        <v>124</v>
      </c>
      <c r="EQ10" s="14">
        <v>122</v>
      </c>
      <c r="ER10" s="14">
        <v>118</v>
      </c>
      <c r="ES10" s="14">
        <v>146</v>
      </c>
      <c r="ET10" s="14">
        <v>128</v>
      </c>
      <c r="EU10" s="14">
        <v>115</v>
      </c>
      <c r="EV10" s="14"/>
      <c r="EW10" s="14"/>
      <c r="EX10" s="14"/>
      <c r="EY10" s="14"/>
      <c r="EZ10" s="14"/>
      <c r="FA10" s="14"/>
      <c r="FB10" s="14">
        <v>106</v>
      </c>
      <c r="FC10" s="14">
        <v>182</v>
      </c>
      <c r="FD10" s="14">
        <v>127</v>
      </c>
      <c r="FE10" s="14">
        <v>122</v>
      </c>
      <c r="FF10" s="14">
        <v>123</v>
      </c>
      <c r="FG10" s="14">
        <v>140</v>
      </c>
      <c r="FH10" s="14">
        <v>148</v>
      </c>
      <c r="FI10" s="14">
        <v>126</v>
      </c>
      <c r="FJ10" s="14">
        <v>97</v>
      </c>
      <c r="FK10" s="14">
        <v>128</v>
      </c>
      <c r="FL10" s="14">
        <v>160</v>
      </c>
      <c r="FM10" s="14">
        <v>145</v>
      </c>
      <c r="FN10" s="14"/>
      <c r="FO10" s="14">
        <v>104</v>
      </c>
      <c r="FP10" s="14">
        <v>129</v>
      </c>
      <c r="FQ10" s="14">
        <v>105</v>
      </c>
      <c r="FR10" s="14">
        <v>105</v>
      </c>
      <c r="FS10" s="14"/>
      <c r="FT10" s="14"/>
      <c r="FU10" s="14"/>
      <c r="FV10" s="14"/>
      <c r="FW10" s="14">
        <v>137</v>
      </c>
      <c r="FX10" s="14">
        <v>158</v>
      </c>
      <c r="FY10" s="14">
        <v>140</v>
      </c>
      <c r="FZ10" s="14">
        <v>135</v>
      </c>
      <c r="GA10" s="14">
        <v>135</v>
      </c>
      <c r="GB10" s="14"/>
      <c r="GC10" s="14">
        <v>134</v>
      </c>
      <c r="GD10" s="14">
        <v>158</v>
      </c>
      <c r="GE10" s="14">
        <v>140</v>
      </c>
      <c r="GF10" s="14">
        <v>125</v>
      </c>
      <c r="GG10" s="14">
        <v>91</v>
      </c>
      <c r="GH10" s="14">
        <v>108</v>
      </c>
      <c r="GI10" s="14">
        <v>107</v>
      </c>
      <c r="GJ10" s="14">
        <v>134</v>
      </c>
      <c r="GK10" s="14">
        <v>188</v>
      </c>
      <c r="GL10" s="14">
        <v>116</v>
      </c>
      <c r="GM10" s="14">
        <v>130</v>
      </c>
      <c r="GN10" s="14">
        <v>156</v>
      </c>
      <c r="GO10" s="14">
        <v>145</v>
      </c>
      <c r="GP10" s="14">
        <v>169</v>
      </c>
      <c r="GQ10" s="14">
        <v>137</v>
      </c>
      <c r="GR10" s="14">
        <v>145</v>
      </c>
      <c r="GS10" s="14">
        <v>171</v>
      </c>
      <c r="GT10" s="14">
        <v>158</v>
      </c>
      <c r="GU10" s="14">
        <v>100</v>
      </c>
      <c r="GV10" s="14">
        <v>123</v>
      </c>
      <c r="GW10" s="14">
        <v>144</v>
      </c>
      <c r="GX10" s="26">
        <v>203</v>
      </c>
      <c r="GY10" s="14">
        <v>129</v>
      </c>
      <c r="GZ10" s="14">
        <v>133</v>
      </c>
      <c r="HA10" s="14">
        <v>149</v>
      </c>
      <c r="HB10" s="14">
        <v>117</v>
      </c>
      <c r="HC10" s="14">
        <v>143</v>
      </c>
      <c r="HD10" s="14">
        <v>140</v>
      </c>
      <c r="HE10" s="14">
        <v>131</v>
      </c>
      <c r="HF10" s="14">
        <v>118</v>
      </c>
      <c r="HG10" s="14">
        <v>116</v>
      </c>
      <c r="HH10" s="14">
        <v>135</v>
      </c>
      <c r="HI10" s="14">
        <v>134</v>
      </c>
      <c r="HJ10" s="14">
        <v>114</v>
      </c>
      <c r="HK10" s="14">
        <v>127</v>
      </c>
      <c r="HL10" s="14">
        <v>161</v>
      </c>
      <c r="HM10" s="18">
        <v>147</v>
      </c>
      <c r="HN10" s="18">
        <v>131</v>
      </c>
      <c r="HO10" s="18">
        <v>93</v>
      </c>
      <c r="HP10" s="14"/>
      <c r="HQ10" s="14"/>
      <c r="HR10" s="14"/>
      <c r="HS10" s="14">
        <v>156</v>
      </c>
      <c r="HT10" s="14">
        <v>135</v>
      </c>
      <c r="HU10" s="14">
        <v>148</v>
      </c>
      <c r="HV10" s="14">
        <v>115</v>
      </c>
      <c r="HW10" s="14">
        <v>132</v>
      </c>
      <c r="HX10" s="14">
        <v>129</v>
      </c>
      <c r="HY10" s="28">
        <v>128</v>
      </c>
      <c r="HZ10" s="28">
        <v>157</v>
      </c>
      <c r="IA10" s="28">
        <v>163</v>
      </c>
      <c r="IB10" s="14">
        <v>84</v>
      </c>
      <c r="IC10" s="14">
        <v>107</v>
      </c>
      <c r="ID10" s="14">
        <v>143</v>
      </c>
      <c r="IE10" s="14">
        <v>151</v>
      </c>
      <c r="IF10" s="14">
        <v>99</v>
      </c>
      <c r="IG10" s="14">
        <v>139</v>
      </c>
      <c r="IH10" s="14">
        <v>117</v>
      </c>
      <c r="II10" s="14">
        <v>100</v>
      </c>
      <c r="IJ10" s="14">
        <v>81</v>
      </c>
      <c r="IK10" s="14">
        <v>178</v>
      </c>
      <c r="IL10" s="14">
        <v>158</v>
      </c>
      <c r="IM10" s="14">
        <v>151</v>
      </c>
      <c r="IN10" s="14">
        <v>181</v>
      </c>
      <c r="IO10" s="14">
        <v>142</v>
      </c>
      <c r="IP10" s="14">
        <v>167</v>
      </c>
      <c r="IQ10" s="14">
        <v>113</v>
      </c>
      <c r="IR10" s="14">
        <v>148</v>
      </c>
      <c r="IS10" s="14">
        <v>157</v>
      </c>
      <c r="IT10" s="14"/>
      <c r="IU10" s="14"/>
      <c r="IV10" s="14"/>
      <c r="IW10" s="14"/>
      <c r="IX10" s="14"/>
      <c r="IY10" s="14"/>
      <c r="IZ10" s="14"/>
      <c r="JA10" s="14"/>
      <c r="JB10" s="14">
        <v>144</v>
      </c>
      <c r="JC10" s="14">
        <v>127</v>
      </c>
      <c r="JD10" s="14">
        <v>122</v>
      </c>
      <c r="JE10" s="14">
        <v>141</v>
      </c>
      <c r="JF10" s="14">
        <v>133</v>
      </c>
      <c r="JG10" s="14">
        <v>157</v>
      </c>
      <c r="JH10" s="11">
        <v>145</v>
      </c>
      <c r="JI10" s="11">
        <v>163</v>
      </c>
      <c r="JJ10" s="11">
        <v>170</v>
      </c>
      <c r="JK10" s="11">
        <v>106</v>
      </c>
      <c r="JL10" s="11">
        <v>121</v>
      </c>
      <c r="JM10" s="11">
        <v>150</v>
      </c>
      <c r="JN10" s="11">
        <v>121</v>
      </c>
      <c r="JO10" s="11">
        <v>120</v>
      </c>
      <c r="JP10" s="11">
        <v>143</v>
      </c>
      <c r="JQ10" s="11">
        <v>141</v>
      </c>
      <c r="JR10" s="11">
        <v>137</v>
      </c>
      <c r="JS10" s="11">
        <v>155</v>
      </c>
      <c r="JT10" s="11">
        <v>137</v>
      </c>
      <c r="JU10" s="11">
        <v>140</v>
      </c>
      <c r="JV10" s="11">
        <v>122</v>
      </c>
      <c r="JW10" s="11">
        <v>141</v>
      </c>
      <c r="JX10" s="11">
        <v>121</v>
      </c>
      <c r="JY10" s="11">
        <v>192</v>
      </c>
      <c r="JZ10" s="11">
        <v>115</v>
      </c>
      <c r="KA10" s="11">
        <v>118</v>
      </c>
      <c r="KB10" s="11">
        <v>138</v>
      </c>
      <c r="KC10" s="11">
        <v>112</v>
      </c>
      <c r="KD10" s="11">
        <v>160</v>
      </c>
      <c r="KE10" s="11">
        <v>168</v>
      </c>
      <c r="KF10" s="11">
        <v>108</v>
      </c>
      <c r="KG10" s="11">
        <v>150</v>
      </c>
      <c r="KH10" s="11"/>
      <c r="KI10" s="11">
        <v>159</v>
      </c>
      <c r="KJ10" s="11">
        <v>107</v>
      </c>
      <c r="KK10" s="11">
        <v>144</v>
      </c>
      <c r="KL10" s="11">
        <v>108</v>
      </c>
      <c r="KM10" s="11">
        <v>128</v>
      </c>
      <c r="KN10" s="11">
        <v>141</v>
      </c>
      <c r="KO10" s="11"/>
      <c r="KP10" s="11"/>
      <c r="KQ10" s="11"/>
      <c r="KR10" s="11"/>
      <c r="KS10" s="11"/>
      <c r="KT10" s="11"/>
      <c r="KU10" s="11"/>
      <c r="KV10" s="11"/>
      <c r="KW10" s="11"/>
      <c r="KX10" s="11">
        <v>128</v>
      </c>
      <c r="KY10" s="11">
        <v>120</v>
      </c>
      <c r="KZ10" s="11">
        <v>155</v>
      </c>
      <c r="LA10" s="11">
        <v>120</v>
      </c>
      <c r="LB10" s="11">
        <v>158</v>
      </c>
      <c r="LC10" s="11">
        <v>126</v>
      </c>
      <c r="LD10" s="11">
        <v>99</v>
      </c>
      <c r="LE10" s="11">
        <v>144</v>
      </c>
      <c r="LF10" s="11">
        <v>119</v>
      </c>
      <c r="LG10" s="11">
        <v>151</v>
      </c>
      <c r="LH10" s="11">
        <v>109</v>
      </c>
      <c r="LI10" s="11">
        <v>160</v>
      </c>
      <c r="LJ10" s="11">
        <v>90</v>
      </c>
      <c r="LK10" s="11">
        <v>139</v>
      </c>
      <c r="LL10" s="11">
        <v>125</v>
      </c>
      <c r="LM10" s="11">
        <v>87</v>
      </c>
      <c r="LN10" s="11">
        <v>128</v>
      </c>
      <c r="LO10" s="11">
        <v>119</v>
      </c>
      <c r="LP10" s="11">
        <v>181</v>
      </c>
      <c r="LQ10" s="11">
        <v>143</v>
      </c>
      <c r="LR10" s="11">
        <v>110</v>
      </c>
      <c r="LS10" s="11">
        <v>141</v>
      </c>
      <c r="LT10" s="11">
        <v>102</v>
      </c>
      <c r="LU10" s="11">
        <v>129</v>
      </c>
      <c r="LV10" s="11">
        <v>169</v>
      </c>
      <c r="LW10" s="11">
        <v>191</v>
      </c>
      <c r="LX10" s="11">
        <v>135</v>
      </c>
      <c r="LY10" s="11">
        <v>132</v>
      </c>
      <c r="LZ10" s="11">
        <v>142</v>
      </c>
      <c r="MA10" s="11">
        <v>191</v>
      </c>
      <c r="MB10" s="11">
        <v>118</v>
      </c>
      <c r="MC10" s="11">
        <v>137</v>
      </c>
      <c r="MD10" s="11">
        <v>165</v>
      </c>
      <c r="ME10" s="11"/>
      <c r="MF10" s="11"/>
      <c r="MG10" s="11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>
        <v>120</v>
      </c>
      <c r="MT10" s="13">
        <v>136</v>
      </c>
      <c r="MU10" s="13">
        <v>103</v>
      </c>
      <c r="MV10" s="13">
        <v>161</v>
      </c>
      <c r="MW10" s="13">
        <v>159</v>
      </c>
      <c r="MX10" s="13">
        <v>149</v>
      </c>
      <c r="MY10" s="13">
        <v>132</v>
      </c>
      <c r="MZ10" s="13">
        <v>140</v>
      </c>
      <c r="NA10" s="13">
        <v>103</v>
      </c>
      <c r="NB10" s="13">
        <v>99</v>
      </c>
      <c r="NC10" s="13">
        <v>146</v>
      </c>
      <c r="ND10" s="13">
        <v>139</v>
      </c>
      <c r="NE10" s="13">
        <v>151</v>
      </c>
      <c r="NF10" s="13">
        <v>114</v>
      </c>
      <c r="NG10" s="13">
        <v>119</v>
      </c>
      <c r="NH10" s="13">
        <v>127</v>
      </c>
      <c r="NI10" s="13">
        <v>131</v>
      </c>
      <c r="NJ10" s="13">
        <v>140</v>
      </c>
      <c r="NK10" s="13">
        <v>125</v>
      </c>
      <c r="NL10" s="13"/>
      <c r="NM10" s="13"/>
      <c r="NN10" s="13"/>
      <c r="NO10" s="13">
        <v>112</v>
      </c>
      <c r="NP10" s="13">
        <v>162</v>
      </c>
      <c r="NQ10" s="13">
        <v>146</v>
      </c>
      <c r="NR10" s="13"/>
      <c r="NS10" s="13">
        <v>121</v>
      </c>
      <c r="NT10" s="13">
        <v>131</v>
      </c>
      <c r="NU10" s="13">
        <v>140</v>
      </c>
      <c r="NV10" s="13">
        <v>161</v>
      </c>
      <c r="NW10" s="13">
        <v>187</v>
      </c>
      <c r="NX10" s="13">
        <v>125</v>
      </c>
      <c r="NY10" s="13">
        <v>140</v>
      </c>
      <c r="NZ10" s="13">
        <v>139</v>
      </c>
      <c r="OA10" s="13"/>
      <c r="OB10" s="13"/>
      <c r="OC10" s="13"/>
      <c r="OD10" s="13">
        <v>136</v>
      </c>
      <c r="OE10" s="13">
        <v>91</v>
      </c>
      <c r="OF10" s="13">
        <v>132</v>
      </c>
      <c r="OG10" s="13">
        <v>113</v>
      </c>
      <c r="OH10" s="13">
        <v>133</v>
      </c>
      <c r="OI10" s="13">
        <v>139</v>
      </c>
      <c r="OJ10" s="8"/>
      <c r="OK10" s="36">
        <f t="shared" si="3"/>
        <v>385</v>
      </c>
      <c r="OL10" s="10">
        <f t="shared" si="4"/>
        <v>128.33333333333334</v>
      </c>
      <c r="OM10" s="10">
        <f t="shared" si="5"/>
        <v>136.16901408450704</v>
      </c>
      <c r="ON10" s="10">
        <f t="shared" si="6"/>
        <v>133.38888888888889</v>
      </c>
      <c r="OO10" s="10">
        <f t="shared" si="1"/>
        <v>130.96929824561403</v>
      </c>
      <c r="OR10" s="256"/>
      <c r="OS10" s="242"/>
      <c r="OT10" s="242"/>
      <c r="OU10" s="242"/>
      <c r="OV10" s="256"/>
    </row>
    <row r="11" spans="1:412">
      <c r="A11" s="450" t="s">
        <v>474</v>
      </c>
      <c r="B11" s="8" t="str">
        <f>VLOOKUP(A11,'미니게임_DATA(순)'!$A$4:$B$60,2,0)</f>
        <v>Y</v>
      </c>
      <c r="C11" s="374"/>
      <c r="D11" s="374"/>
      <c r="E11" s="374"/>
      <c r="F11" s="374"/>
      <c r="G11" s="374"/>
      <c r="H11" s="374"/>
      <c r="I11" s="374"/>
      <c r="J11" s="374"/>
      <c r="K11" s="374"/>
      <c r="L11" s="450"/>
      <c r="M11" s="444"/>
      <c r="N11" s="444"/>
      <c r="O11" s="444"/>
      <c r="P11" s="444"/>
      <c r="Q11" s="444"/>
      <c r="R11" s="444"/>
      <c r="S11" s="444"/>
      <c r="T11" s="444"/>
      <c r="U11" s="444"/>
      <c r="V11" s="444"/>
      <c r="W11" s="444"/>
      <c r="X11" s="444"/>
      <c r="Y11" s="444"/>
      <c r="Z11" s="444"/>
      <c r="AA11" s="444"/>
      <c r="AB11" s="444"/>
      <c r="AC11" s="444"/>
      <c r="AD11" s="444"/>
      <c r="AE11" s="444"/>
      <c r="AF11" s="444"/>
      <c r="AG11" s="444"/>
      <c r="AH11" s="444"/>
      <c r="AI11" s="444"/>
      <c r="AJ11" s="444"/>
      <c r="AK11" s="444"/>
      <c r="AL11" s="444"/>
      <c r="AM11" s="444"/>
      <c r="AN11" s="444"/>
      <c r="AO11" s="444"/>
      <c r="AP11" s="444"/>
      <c r="AQ11" s="444"/>
      <c r="AR11" s="444"/>
      <c r="AS11" s="444"/>
      <c r="AT11" s="444"/>
      <c r="AU11" s="444"/>
      <c r="AV11" s="444"/>
      <c r="AW11" s="444"/>
      <c r="AX11" s="444"/>
      <c r="AY11" s="444"/>
      <c r="AZ11" s="444"/>
      <c r="BA11" s="444"/>
      <c r="BB11" s="444"/>
      <c r="BC11" s="444"/>
      <c r="BD11" s="444"/>
      <c r="BE11" s="444"/>
      <c r="BF11" s="444"/>
      <c r="BG11" s="444"/>
      <c r="BH11" s="444"/>
      <c r="BI11" s="444"/>
      <c r="BJ11" s="444"/>
      <c r="BK11" s="444"/>
      <c r="BL11" s="444"/>
      <c r="BM11" s="444"/>
      <c r="BN11" s="444"/>
      <c r="BO11" s="444"/>
      <c r="BP11" s="444"/>
      <c r="BQ11" s="444"/>
      <c r="BR11" s="444"/>
      <c r="BS11" s="444"/>
      <c r="BT11" s="444"/>
      <c r="BU11" s="444"/>
      <c r="BV11" s="444"/>
      <c r="BW11" s="444"/>
      <c r="BX11" s="444"/>
      <c r="BY11" s="444"/>
      <c r="BZ11" s="444"/>
      <c r="CA11" s="444"/>
      <c r="CB11" s="444"/>
      <c r="CC11" s="444"/>
      <c r="CD11" s="444"/>
      <c r="CE11" s="444"/>
      <c r="CF11" s="444"/>
      <c r="CG11" s="444"/>
      <c r="CH11" s="444"/>
      <c r="CI11" s="444"/>
      <c r="CJ11" s="444"/>
      <c r="CK11" s="444"/>
      <c r="CL11" s="444"/>
      <c r="CM11" s="444"/>
      <c r="CN11" s="444"/>
      <c r="CO11" s="444"/>
      <c r="CP11" s="444"/>
      <c r="CQ11" s="444"/>
      <c r="CR11" s="444"/>
      <c r="CS11" s="444"/>
      <c r="CT11" s="444"/>
      <c r="CU11" s="444"/>
      <c r="CV11" s="444"/>
      <c r="CW11" s="444"/>
      <c r="CX11" s="444"/>
      <c r="CY11" s="444"/>
      <c r="CZ11" s="444"/>
      <c r="DA11" s="444"/>
      <c r="DB11" s="444"/>
      <c r="DC11" s="444"/>
      <c r="DD11" s="444"/>
      <c r="DE11" s="444"/>
      <c r="DF11" s="444"/>
      <c r="DG11" s="444"/>
      <c r="DH11" s="444"/>
      <c r="DI11" s="444"/>
      <c r="DJ11" s="444"/>
      <c r="DK11" s="444"/>
      <c r="DL11" s="444"/>
      <c r="DM11" s="444"/>
      <c r="DN11" s="444"/>
      <c r="DO11" s="444"/>
      <c r="DP11" s="444"/>
      <c r="DQ11" s="444"/>
      <c r="DR11" s="444"/>
      <c r="DS11" s="444"/>
      <c r="DT11" s="444"/>
      <c r="DU11" s="444"/>
      <c r="DV11" s="444"/>
      <c r="DW11" s="444"/>
      <c r="DX11" s="444"/>
      <c r="DY11" s="444"/>
      <c r="DZ11" s="444"/>
      <c r="EA11" s="444"/>
      <c r="EB11" s="444"/>
      <c r="EC11" s="444"/>
      <c r="ED11" s="444"/>
      <c r="EE11" s="444"/>
      <c r="EF11" s="444"/>
      <c r="EG11" s="444"/>
      <c r="EH11" s="444"/>
      <c r="EI11" s="444"/>
      <c r="EJ11" s="444"/>
      <c r="EK11" s="444"/>
      <c r="EL11" s="444"/>
      <c r="EM11" s="444"/>
      <c r="EN11" s="444"/>
      <c r="EO11" s="444"/>
      <c r="EP11" s="444"/>
      <c r="EQ11" s="444"/>
      <c r="ER11" s="444"/>
      <c r="ES11" s="444"/>
      <c r="ET11" s="444"/>
      <c r="EU11" s="444"/>
      <c r="EV11" s="444"/>
      <c r="EW11" s="444"/>
      <c r="EX11" s="444"/>
      <c r="EY11" s="444"/>
      <c r="EZ11" s="444"/>
      <c r="FA11" s="444"/>
      <c r="FB11" s="444"/>
      <c r="FC11" s="444"/>
      <c r="FD11" s="444"/>
      <c r="FE11" s="444"/>
      <c r="FF11" s="444"/>
      <c r="FG11" s="444"/>
      <c r="FH11" s="444"/>
      <c r="FI11" s="444"/>
      <c r="FJ11" s="444"/>
      <c r="FK11" s="444"/>
      <c r="FL11" s="444"/>
      <c r="FM11" s="444"/>
      <c r="FN11" s="444"/>
      <c r="FO11" s="444"/>
      <c r="FP11" s="444"/>
      <c r="FQ11" s="444"/>
      <c r="FR11" s="444"/>
      <c r="FS11" s="444"/>
      <c r="FT11" s="444"/>
      <c r="FU11" s="444"/>
      <c r="FV11" s="444"/>
      <c r="FW11" s="444"/>
      <c r="FX11" s="444"/>
      <c r="FY11" s="444"/>
      <c r="FZ11" s="444"/>
      <c r="GA11" s="444"/>
      <c r="GB11" s="444"/>
      <c r="GC11" s="444"/>
      <c r="GD11" s="444"/>
      <c r="GE11" s="444"/>
      <c r="GF11" s="444"/>
      <c r="GG11" s="444"/>
      <c r="GH11" s="444"/>
      <c r="GI11" s="444"/>
      <c r="GJ11" s="444"/>
      <c r="GK11" s="444"/>
      <c r="GL11" s="444"/>
      <c r="GM11" s="444"/>
      <c r="GN11" s="444"/>
      <c r="GO11" s="444"/>
      <c r="GP11" s="444"/>
      <c r="GQ11" s="444"/>
      <c r="GR11" s="444"/>
      <c r="GS11" s="444"/>
      <c r="GT11" s="444"/>
      <c r="GU11" s="444"/>
      <c r="GV11" s="444"/>
      <c r="GW11" s="444"/>
      <c r="GX11" s="444"/>
      <c r="GY11" s="444"/>
      <c r="GZ11" s="444"/>
      <c r="HA11" s="444"/>
      <c r="HB11" s="444"/>
      <c r="HC11" s="444"/>
      <c r="HD11" s="444"/>
      <c r="HE11" s="444"/>
      <c r="HF11" s="444"/>
      <c r="HG11" s="444"/>
      <c r="HH11" s="444"/>
      <c r="HI11" s="444"/>
      <c r="HJ11" s="444"/>
      <c r="HK11" s="444"/>
      <c r="HL11" s="444"/>
      <c r="HM11" s="444"/>
      <c r="HN11" s="444"/>
      <c r="HO11" s="444"/>
      <c r="HP11" s="444"/>
      <c r="HQ11" s="444"/>
      <c r="HR11" s="444"/>
      <c r="HS11" s="444"/>
      <c r="HT11" s="444"/>
      <c r="HU11" s="444"/>
      <c r="HV11" s="444"/>
      <c r="HW11" s="444"/>
      <c r="HX11" s="444"/>
      <c r="HY11" s="444"/>
      <c r="HZ11" s="444"/>
      <c r="IA11" s="444"/>
      <c r="IB11" s="444"/>
      <c r="IC11" s="444"/>
      <c r="ID11" s="444"/>
      <c r="IE11" s="444"/>
      <c r="IF11" s="444"/>
      <c r="IG11" s="444"/>
      <c r="IH11" s="444"/>
      <c r="II11" s="444"/>
      <c r="IJ11" s="444"/>
      <c r="IK11" s="444"/>
      <c r="IL11" s="444"/>
      <c r="IM11" s="444"/>
      <c r="IN11" s="444"/>
      <c r="IO11" s="444"/>
      <c r="IP11" s="444"/>
      <c r="IQ11" s="444"/>
      <c r="IR11" s="444"/>
      <c r="IS11" s="444"/>
      <c r="IT11" s="444"/>
      <c r="IU11" s="444"/>
      <c r="IV11" s="444"/>
      <c r="IW11" s="444"/>
      <c r="IX11" s="444"/>
      <c r="IY11" s="444"/>
      <c r="IZ11" s="444"/>
      <c r="JA11" s="444"/>
      <c r="JB11" s="444"/>
      <c r="JC11" s="444"/>
      <c r="JD11" s="444"/>
      <c r="JE11" s="444"/>
      <c r="JF11" s="444"/>
      <c r="JG11" s="444"/>
      <c r="JH11" s="444"/>
      <c r="JI11" s="444"/>
      <c r="JJ11" s="444"/>
      <c r="JK11" s="444"/>
      <c r="JL11" s="444"/>
      <c r="JM11" s="444"/>
      <c r="JN11" s="444"/>
      <c r="JO11" s="444"/>
      <c r="JP11" s="444"/>
      <c r="JQ11" s="444"/>
      <c r="JR11" s="444"/>
      <c r="JS11" s="444"/>
      <c r="JT11" s="444"/>
      <c r="JU11" s="444"/>
      <c r="JV11" s="444"/>
      <c r="JW11" s="444"/>
      <c r="JX11" s="444"/>
      <c r="JY11" s="444"/>
      <c r="JZ11" s="444"/>
      <c r="KA11" s="444"/>
      <c r="KB11" s="444"/>
      <c r="KC11" s="444"/>
      <c r="KD11" s="444"/>
      <c r="KE11" s="444"/>
      <c r="KF11" s="444"/>
      <c r="KG11" s="444"/>
      <c r="KH11" s="444"/>
      <c r="KI11" s="444"/>
      <c r="KJ11" s="444"/>
      <c r="KK11" s="444"/>
      <c r="KL11" s="444"/>
      <c r="KM11" s="444"/>
      <c r="KN11" s="444"/>
      <c r="KO11" s="444"/>
      <c r="KP11" s="444"/>
      <c r="KQ11" s="444"/>
      <c r="KR11" s="444"/>
      <c r="KS11" s="444"/>
      <c r="KT11" s="444"/>
      <c r="KU11" s="444"/>
      <c r="KV11" s="444"/>
      <c r="KW11" s="444"/>
      <c r="KX11" s="444"/>
      <c r="KY11" s="444"/>
      <c r="KZ11" s="444"/>
      <c r="LA11" s="444"/>
      <c r="LB11" s="444"/>
      <c r="LC11" s="444"/>
      <c r="LD11" s="444"/>
      <c r="LE11" s="444"/>
      <c r="LF11" s="444"/>
      <c r="LG11" s="444"/>
      <c r="LH11" s="444"/>
      <c r="LI11" s="444"/>
      <c r="LJ11" s="444"/>
      <c r="LK11" s="444"/>
      <c r="LL11" s="444"/>
      <c r="LM11" s="444"/>
      <c r="LN11" s="444"/>
      <c r="LO11" s="444"/>
      <c r="LP11" s="444"/>
      <c r="LQ11" s="444"/>
      <c r="LR11" s="444"/>
      <c r="LS11" s="444"/>
      <c r="LT11" s="444"/>
      <c r="LU11" s="444"/>
      <c r="LV11" s="444"/>
      <c r="LW11" s="444"/>
      <c r="LX11" s="444"/>
      <c r="LY11" s="444"/>
      <c r="LZ11" s="444"/>
      <c r="MA11" s="444"/>
      <c r="MB11" s="444"/>
      <c r="MC11" s="444"/>
      <c r="MD11" s="444"/>
      <c r="ME11" s="450"/>
      <c r="MF11" s="450"/>
      <c r="MG11" s="450"/>
      <c r="MH11" s="450"/>
      <c r="MI11" s="450"/>
      <c r="MJ11" s="450"/>
      <c r="MK11" s="450"/>
      <c r="ML11" s="450"/>
      <c r="MM11" s="450"/>
      <c r="MN11" s="450"/>
      <c r="MO11" s="450"/>
      <c r="MP11" s="450"/>
      <c r="MQ11" s="450"/>
      <c r="MR11" s="450"/>
      <c r="MS11" s="450"/>
      <c r="MT11" s="450"/>
      <c r="MU11" s="450"/>
      <c r="MV11" s="450"/>
      <c r="MW11" s="450"/>
      <c r="MX11" s="450"/>
      <c r="MY11" s="450"/>
      <c r="MZ11" s="450"/>
      <c r="NA11" s="450"/>
      <c r="NB11" s="450"/>
      <c r="NC11" s="450"/>
      <c r="ND11" s="450"/>
      <c r="NE11" s="450"/>
      <c r="NF11" s="450"/>
      <c r="NG11" s="450"/>
      <c r="NH11" s="450"/>
      <c r="NI11" s="450"/>
      <c r="NJ11" s="450"/>
      <c r="NK11" s="450"/>
      <c r="NL11" s="463"/>
      <c r="NM11" s="463"/>
      <c r="NN11" s="463"/>
      <c r="NO11" s="463"/>
      <c r="NP11" s="463"/>
      <c r="NQ11" s="463"/>
      <c r="NR11" s="463"/>
      <c r="NS11" s="463"/>
      <c r="NT11" s="463"/>
      <c r="NU11" s="13">
        <v>157</v>
      </c>
      <c r="NV11" s="13">
        <v>132</v>
      </c>
      <c r="NW11" s="13">
        <v>119</v>
      </c>
      <c r="NX11" s="13">
        <v>134</v>
      </c>
      <c r="NY11" s="13">
        <v>100</v>
      </c>
      <c r="NZ11" s="13">
        <v>49</v>
      </c>
      <c r="OA11" s="13"/>
      <c r="OB11" s="13"/>
      <c r="OC11" s="13"/>
      <c r="OD11" s="13">
        <v>158</v>
      </c>
      <c r="OE11" s="13">
        <v>107</v>
      </c>
      <c r="OF11" s="13">
        <v>84</v>
      </c>
      <c r="OG11" s="13">
        <v>112</v>
      </c>
      <c r="OH11" s="13">
        <v>110</v>
      </c>
      <c r="OI11" s="13">
        <v>144</v>
      </c>
      <c r="OJ11" s="450"/>
      <c r="OK11" s="36">
        <f t="shared" si="3"/>
        <v>366</v>
      </c>
      <c r="OL11" s="10">
        <f t="shared" si="4"/>
        <v>122</v>
      </c>
      <c r="OM11" s="10">
        <f t="shared" si="5"/>
        <v>0</v>
      </c>
      <c r="ON11" s="10">
        <f t="shared" si="6"/>
        <v>117.16666666666667</v>
      </c>
      <c r="OO11" s="10">
        <f t="shared" si="1"/>
        <v>117.16666666666667</v>
      </c>
      <c r="OR11" s="256"/>
      <c r="OS11" s="242"/>
      <c r="OT11" s="242"/>
      <c r="OU11" s="242"/>
      <c r="OV11" s="256"/>
    </row>
    <row r="12" spans="1:412">
      <c r="A12" s="463" t="s">
        <v>476</v>
      </c>
      <c r="B12" s="8" t="str">
        <f>VLOOKUP(A12,'미니게임_DATA(순)'!$A$4:$B$60,2,0)</f>
        <v>Y</v>
      </c>
      <c r="C12" s="374"/>
      <c r="D12" s="374"/>
      <c r="E12" s="374"/>
      <c r="F12" s="374"/>
      <c r="G12" s="374"/>
      <c r="H12" s="374"/>
      <c r="I12" s="374"/>
      <c r="J12" s="374"/>
      <c r="K12" s="374"/>
      <c r="L12" s="463"/>
      <c r="M12" s="463"/>
      <c r="N12" s="463"/>
      <c r="O12" s="463"/>
      <c r="P12" s="463"/>
      <c r="Q12" s="463"/>
      <c r="R12" s="463"/>
      <c r="S12" s="463"/>
      <c r="T12" s="463"/>
      <c r="U12" s="463"/>
      <c r="V12" s="463"/>
      <c r="W12" s="463"/>
      <c r="X12" s="463"/>
      <c r="Y12" s="463"/>
      <c r="Z12" s="463"/>
      <c r="AA12" s="463"/>
      <c r="AB12" s="463"/>
      <c r="AC12" s="463"/>
      <c r="AD12" s="463"/>
      <c r="AE12" s="463"/>
      <c r="AF12" s="463"/>
      <c r="AG12" s="463"/>
      <c r="AH12" s="463"/>
      <c r="AI12" s="463"/>
      <c r="AJ12" s="463"/>
      <c r="AK12" s="463"/>
      <c r="AL12" s="463"/>
      <c r="AM12" s="463"/>
      <c r="AN12" s="463"/>
      <c r="AO12" s="463"/>
      <c r="AP12" s="463"/>
      <c r="AQ12" s="463"/>
      <c r="AR12" s="463"/>
      <c r="AS12" s="463"/>
      <c r="AT12" s="463"/>
      <c r="AU12" s="463"/>
      <c r="AV12" s="463"/>
      <c r="AW12" s="463"/>
      <c r="AX12" s="463"/>
      <c r="AY12" s="463"/>
      <c r="AZ12" s="463"/>
      <c r="BA12" s="463"/>
      <c r="BB12" s="463"/>
      <c r="BC12" s="463"/>
      <c r="BD12" s="463"/>
      <c r="BE12" s="463"/>
      <c r="BF12" s="463"/>
      <c r="BG12" s="463"/>
      <c r="BH12" s="463"/>
      <c r="BI12" s="463"/>
      <c r="BJ12" s="463"/>
      <c r="BK12" s="463"/>
      <c r="BL12" s="463"/>
      <c r="BM12" s="463"/>
      <c r="BN12" s="463"/>
      <c r="BO12" s="463"/>
      <c r="BP12" s="463"/>
      <c r="BQ12" s="463"/>
      <c r="BR12" s="463"/>
      <c r="BS12" s="463"/>
      <c r="BT12" s="463"/>
      <c r="BU12" s="463"/>
      <c r="BV12" s="463"/>
      <c r="BW12" s="463"/>
      <c r="BX12" s="463"/>
      <c r="BY12" s="463"/>
      <c r="BZ12" s="463"/>
      <c r="CA12" s="463"/>
      <c r="CB12" s="463"/>
      <c r="CC12" s="463"/>
      <c r="CD12" s="463"/>
      <c r="CE12" s="463"/>
      <c r="CF12" s="463"/>
      <c r="CG12" s="463"/>
      <c r="CH12" s="463"/>
      <c r="CI12" s="463"/>
      <c r="CJ12" s="463"/>
      <c r="CK12" s="463"/>
      <c r="CL12" s="463"/>
      <c r="CM12" s="463"/>
      <c r="CN12" s="463"/>
      <c r="CO12" s="463"/>
      <c r="CP12" s="463"/>
      <c r="CQ12" s="463"/>
      <c r="CR12" s="463"/>
      <c r="CS12" s="463"/>
      <c r="CT12" s="463"/>
      <c r="CU12" s="463"/>
      <c r="CV12" s="463"/>
      <c r="CW12" s="463"/>
      <c r="CX12" s="463"/>
      <c r="CY12" s="463"/>
      <c r="CZ12" s="463"/>
      <c r="DA12" s="463"/>
      <c r="DB12" s="463"/>
      <c r="DC12" s="463"/>
      <c r="DD12" s="463"/>
      <c r="DE12" s="463"/>
      <c r="DF12" s="463"/>
      <c r="DG12" s="463"/>
      <c r="DH12" s="463"/>
      <c r="DI12" s="463"/>
      <c r="DJ12" s="463"/>
      <c r="DK12" s="463"/>
      <c r="DL12" s="463"/>
      <c r="DM12" s="463"/>
      <c r="DN12" s="463"/>
      <c r="DO12" s="463"/>
      <c r="DP12" s="463"/>
      <c r="DQ12" s="463"/>
      <c r="DR12" s="463"/>
      <c r="DS12" s="463"/>
      <c r="DT12" s="463"/>
      <c r="DU12" s="463"/>
      <c r="DV12" s="463"/>
      <c r="DW12" s="463"/>
      <c r="DX12" s="463"/>
      <c r="DY12" s="463"/>
      <c r="DZ12" s="463"/>
      <c r="EA12" s="463"/>
      <c r="EB12" s="463"/>
      <c r="EC12" s="463"/>
      <c r="ED12" s="463"/>
      <c r="EE12" s="463"/>
      <c r="EF12" s="463"/>
      <c r="EG12" s="463"/>
      <c r="EH12" s="463"/>
      <c r="EI12" s="463"/>
      <c r="EJ12" s="463"/>
      <c r="EK12" s="463"/>
      <c r="EL12" s="463"/>
      <c r="EM12" s="463"/>
      <c r="EN12" s="463"/>
      <c r="EO12" s="463"/>
      <c r="EP12" s="463"/>
      <c r="EQ12" s="463"/>
      <c r="ER12" s="463"/>
      <c r="ES12" s="463"/>
      <c r="ET12" s="463"/>
      <c r="EU12" s="463"/>
      <c r="EV12" s="463"/>
      <c r="EW12" s="463"/>
      <c r="EX12" s="463"/>
      <c r="EY12" s="463"/>
      <c r="EZ12" s="463"/>
      <c r="FA12" s="463"/>
      <c r="FB12" s="463"/>
      <c r="FC12" s="463"/>
      <c r="FD12" s="463"/>
      <c r="FE12" s="463"/>
      <c r="FF12" s="463"/>
      <c r="FG12" s="463"/>
      <c r="FH12" s="463"/>
      <c r="FI12" s="463"/>
      <c r="FJ12" s="463"/>
      <c r="FK12" s="463"/>
      <c r="FL12" s="463"/>
      <c r="FM12" s="463"/>
      <c r="FN12" s="463"/>
      <c r="FO12" s="463"/>
      <c r="FP12" s="463"/>
      <c r="FQ12" s="463"/>
      <c r="FR12" s="463"/>
      <c r="FS12" s="463"/>
      <c r="FT12" s="463"/>
      <c r="FU12" s="463"/>
      <c r="FV12" s="463"/>
      <c r="FW12" s="463"/>
      <c r="FX12" s="463"/>
      <c r="FY12" s="463"/>
      <c r="FZ12" s="463"/>
      <c r="GA12" s="463"/>
      <c r="GB12" s="463"/>
      <c r="GC12" s="463"/>
      <c r="GD12" s="463"/>
      <c r="GE12" s="463"/>
      <c r="GF12" s="463"/>
      <c r="GG12" s="463"/>
      <c r="GH12" s="463"/>
      <c r="GI12" s="463"/>
      <c r="GJ12" s="463"/>
      <c r="GK12" s="463"/>
      <c r="GL12" s="463"/>
      <c r="GM12" s="463"/>
      <c r="GN12" s="463"/>
      <c r="GO12" s="463"/>
      <c r="GP12" s="463"/>
      <c r="GQ12" s="463"/>
      <c r="GR12" s="463"/>
      <c r="GS12" s="463"/>
      <c r="GT12" s="463"/>
      <c r="GU12" s="463"/>
      <c r="GV12" s="463"/>
      <c r="GW12" s="463"/>
      <c r="GX12" s="463"/>
      <c r="GY12" s="463"/>
      <c r="GZ12" s="463"/>
      <c r="HA12" s="463"/>
      <c r="HB12" s="463"/>
      <c r="HC12" s="463"/>
      <c r="HD12" s="463"/>
      <c r="HE12" s="463"/>
      <c r="HF12" s="463"/>
      <c r="HG12" s="463"/>
      <c r="HH12" s="463"/>
      <c r="HI12" s="463"/>
      <c r="HJ12" s="463"/>
      <c r="HK12" s="463"/>
      <c r="HL12" s="463"/>
      <c r="HM12" s="463"/>
      <c r="HN12" s="463"/>
      <c r="HO12" s="463"/>
      <c r="HP12" s="463"/>
      <c r="HQ12" s="463"/>
      <c r="HR12" s="463"/>
      <c r="HS12" s="463"/>
      <c r="HT12" s="463"/>
      <c r="HU12" s="463"/>
      <c r="HV12" s="463"/>
      <c r="HW12" s="463"/>
      <c r="HX12" s="463"/>
      <c r="HY12" s="463"/>
      <c r="HZ12" s="463"/>
      <c r="IA12" s="463"/>
      <c r="IB12" s="463"/>
      <c r="IC12" s="463"/>
      <c r="ID12" s="463"/>
      <c r="IE12" s="463"/>
      <c r="IF12" s="463"/>
      <c r="IG12" s="463"/>
      <c r="IH12" s="463"/>
      <c r="II12" s="463"/>
      <c r="IJ12" s="463"/>
      <c r="IK12" s="463"/>
      <c r="IL12" s="463"/>
      <c r="IM12" s="463"/>
      <c r="IN12" s="463"/>
      <c r="IO12" s="463"/>
      <c r="IP12" s="463"/>
      <c r="IQ12" s="463"/>
      <c r="IR12" s="463"/>
      <c r="IS12" s="463"/>
      <c r="IT12" s="463"/>
      <c r="IU12" s="463"/>
      <c r="IV12" s="463"/>
      <c r="IW12" s="463"/>
      <c r="IX12" s="463"/>
      <c r="IY12" s="463"/>
      <c r="IZ12" s="463"/>
      <c r="JA12" s="463"/>
      <c r="JB12" s="463"/>
      <c r="JC12" s="463"/>
      <c r="JD12" s="463"/>
      <c r="JE12" s="463"/>
      <c r="JF12" s="463"/>
      <c r="JG12" s="463"/>
      <c r="JH12" s="463"/>
      <c r="JI12" s="463"/>
      <c r="JJ12" s="463"/>
      <c r="JK12" s="463"/>
      <c r="JL12" s="463"/>
      <c r="JM12" s="463"/>
      <c r="JN12" s="463"/>
      <c r="JO12" s="463"/>
      <c r="JP12" s="463"/>
      <c r="JQ12" s="463"/>
      <c r="JR12" s="463"/>
      <c r="JS12" s="463"/>
      <c r="JT12" s="463"/>
      <c r="JU12" s="463"/>
      <c r="JV12" s="463"/>
      <c r="JW12" s="463"/>
      <c r="JX12" s="463"/>
      <c r="JY12" s="463"/>
      <c r="JZ12" s="463"/>
      <c r="KA12" s="463"/>
      <c r="KB12" s="463"/>
      <c r="KC12" s="463"/>
      <c r="KD12" s="463"/>
      <c r="KE12" s="463"/>
      <c r="KF12" s="463"/>
      <c r="KG12" s="463"/>
      <c r="KH12" s="463"/>
      <c r="KI12" s="463"/>
      <c r="KJ12" s="463"/>
      <c r="KK12" s="463"/>
      <c r="KL12" s="463"/>
      <c r="KM12" s="463"/>
      <c r="KN12" s="463"/>
      <c r="KO12" s="463"/>
      <c r="KP12" s="463"/>
      <c r="KQ12" s="463"/>
      <c r="KR12" s="463"/>
      <c r="KS12" s="463"/>
      <c r="KT12" s="463"/>
      <c r="KU12" s="463"/>
      <c r="KV12" s="463"/>
      <c r="KW12" s="463"/>
      <c r="KX12" s="463"/>
      <c r="KY12" s="463"/>
      <c r="KZ12" s="463"/>
      <c r="LA12" s="463"/>
      <c r="LB12" s="463"/>
      <c r="LC12" s="463"/>
      <c r="LD12" s="463"/>
      <c r="LE12" s="463"/>
      <c r="LF12" s="463"/>
      <c r="LG12" s="463"/>
      <c r="LH12" s="463"/>
      <c r="LI12" s="463"/>
      <c r="LJ12" s="463"/>
      <c r="LK12" s="463"/>
      <c r="LL12" s="463"/>
      <c r="LM12" s="463"/>
      <c r="LN12" s="463"/>
      <c r="LO12" s="463"/>
      <c r="LP12" s="463"/>
      <c r="LQ12" s="463"/>
      <c r="LR12" s="463"/>
      <c r="LS12" s="463"/>
      <c r="LT12" s="463"/>
      <c r="LU12" s="463"/>
      <c r="LV12" s="463"/>
      <c r="LW12" s="463"/>
      <c r="LX12" s="463"/>
      <c r="LY12" s="463"/>
      <c r="LZ12" s="463"/>
      <c r="MA12" s="463"/>
      <c r="MB12" s="463"/>
      <c r="MC12" s="463"/>
      <c r="MD12" s="463"/>
      <c r="ME12" s="462"/>
      <c r="MF12" s="462"/>
      <c r="MG12" s="462"/>
      <c r="MH12" s="463"/>
      <c r="MI12" s="463"/>
      <c r="MJ12" s="463"/>
      <c r="MK12" s="463"/>
      <c r="ML12" s="463"/>
      <c r="MM12" s="463"/>
      <c r="MN12" s="463"/>
      <c r="MO12" s="463"/>
      <c r="MP12" s="463"/>
      <c r="MQ12" s="463"/>
      <c r="MR12" s="463"/>
      <c r="MS12" s="463"/>
      <c r="MT12" s="463"/>
      <c r="MU12" s="463"/>
      <c r="MV12" s="463"/>
      <c r="MW12" s="463"/>
      <c r="MX12" s="463"/>
      <c r="MY12" s="463"/>
      <c r="MZ12" s="463"/>
      <c r="NA12" s="463"/>
      <c r="NB12" s="463"/>
      <c r="NC12" s="463"/>
      <c r="ND12" s="463"/>
      <c r="NE12" s="463"/>
      <c r="NF12" s="463"/>
      <c r="NG12" s="463"/>
      <c r="NH12" s="463"/>
      <c r="NI12" s="463"/>
      <c r="NJ12" s="463"/>
      <c r="NK12" s="463"/>
      <c r="NL12" s="463"/>
      <c r="NM12" s="463"/>
      <c r="NN12" s="463"/>
      <c r="NO12" s="463"/>
      <c r="NP12" s="463"/>
      <c r="NQ12" s="463"/>
      <c r="NR12" s="463"/>
      <c r="NS12" s="463"/>
      <c r="NT12" s="463"/>
      <c r="NU12" s="13">
        <v>95</v>
      </c>
      <c r="NV12" s="13">
        <v>104</v>
      </c>
      <c r="NW12" s="13">
        <v>101</v>
      </c>
      <c r="NX12" s="13"/>
      <c r="NY12" s="13"/>
      <c r="NZ12" s="13"/>
      <c r="OA12" s="13"/>
      <c r="OB12" s="13"/>
      <c r="OC12" s="13"/>
      <c r="OD12" s="13">
        <v>101</v>
      </c>
      <c r="OE12" s="13">
        <v>108</v>
      </c>
      <c r="OF12" s="13">
        <v>131</v>
      </c>
      <c r="OG12" s="13">
        <v>100</v>
      </c>
      <c r="OH12" s="13">
        <v>91</v>
      </c>
      <c r="OI12" s="13">
        <v>80</v>
      </c>
      <c r="OJ12" s="463"/>
      <c r="OK12" s="36">
        <f t="shared" si="3"/>
        <v>271</v>
      </c>
      <c r="OL12" s="10">
        <f t="shared" si="4"/>
        <v>90.333333333333329</v>
      </c>
      <c r="OM12" s="10">
        <f t="shared" si="5"/>
        <v>0</v>
      </c>
      <c r="ON12" s="10">
        <f t="shared" si="6"/>
        <v>101.22222222222223</v>
      </c>
      <c r="OO12" s="10">
        <f t="shared" si="1"/>
        <v>101.22222222222223</v>
      </c>
      <c r="OR12" s="256"/>
      <c r="OS12" s="262"/>
      <c r="OT12" s="262"/>
      <c r="OU12" s="262"/>
      <c r="OV12" s="256"/>
    </row>
    <row r="13" spans="1:412">
      <c r="A13" s="463" t="s">
        <v>485</v>
      </c>
      <c r="B13" s="463" t="s">
        <v>486</v>
      </c>
      <c r="C13" s="374"/>
      <c r="D13" s="374"/>
      <c r="E13" s="374"/>
      <c r="F13" s="374"/>
      <c r="G13" s="374"/>
      <c r="H13" s="374"/>
      <c r="I13" s="374"/>
      <c r="J13" s="374"/>
      <c r="K13" s="374"/>
      <c r="L13" s="463"/>
      <c r="M13" s="463"/>
      <c r="N13" s="463"/>
      <c r="O13" s="463"/>
      <c r="P13" s="463"/>
      <c r="Q13" s="463"/>
      <c r="R13" s="463"/>
      <c r="S13" s="463"/>
      <c r="T13" s="463"/>
      <c r="U13" s="463"/>
      <c r="V13" s="463"/>
      <c r="W13" s="463"/>
      <c r="X13" s="463"/>
      <c r="Y13" s="463"/>
      <c r="Z13" s="463"/>
      <c r="AA13" s="463"/>
      <c r="AB13" s="463"/>
      <c r="AC13" s="463"/>
      <c r="AD13" s="463"/>
      <c r="AE13" s="463"/>
      <c r="AF13" s="463"/>
      <c r="AG13" s="463"/>
      <c r="AH13" s="463"/>
      <c r="AI13" s="463"/>
      <c r="AJ13" s="463"/>
      <c r="AK13" s="463"/>
      <c r="AL13" s="463"/>
      <c r="AM13" s="463"/>
      <c r="AN13" s="463"/>
      <c r="AO13" s="463"/>
      <c r="AP13" s="463"/>
      <c r="AQ13" s="463"/>
      <c r="AR13" s="463"/>
      <c r="AS13" s="463"/>
      <c r="AT13" s="463"/>
      <c r="AU13" s="463"/>
      <c r="AV13" s="463"/>
      <c r="AW13" s="463"/>
      <c r="AX13" s="463"/>
      <c r="AY13" s="463"/>
      <c r="AZ13" s="463"/>
      <c r="BA13" s="463"/>
      <c r="BB13" s="463"/>
      <c r="BC13" s="463"/>
      <c r="BD13" s="463"/>
      <c r="BE13" s="463"/>
      <c r="BF13" s="463"/>
      <c r="BG13" s="463"/>
      <c r="BH13" s="463"/>
      <c r="BI13" s="463"/>
      <c r="BJ13" s="463"/>
      <c r="BK13" s="463"/>
      <c r="BL13" s="463"/>
      <c r="BM13" s="463"/>
      <c r="BN13" s="463"/>
      <c r="BO13" s="463"/>
      <c r="BP13" s="463"/>
      <c r="BQ13" s="463"/>
      <c r="BR13" s="463"/>
      <c r="BS13" s="463"/>
      <c r="BT13" s="463"/>
      <c r="BU13" s="463"/>
      <c r="BV13" s="463"/>
      <c r="BW13" s="463"/>
      <c r="BX13" s="463"/>
      <c r="BY13" s="463"/>
      <c r="BZ13" s="463"/>
      <c r="CA13" s="463"/>
      <c r="CB13" s="463"/>
      <c r="CC13" s="463"/>
      <c r="CD13" s="463"/>
      <c r="CE13" s="463"/>
      <c r="CF13" s="463"/>
      <c r="CG13" s="463"/>
      <c r="CH13" s="463"/>
      <c r="CI13" s="463"/>
      <c r="CJ13" s="463"/>
      <c r="CK13" s="463"/>
      <c r="CL13" s="463"/>
      <c r="CM13" s="463"/>
      <c r="CN13" s="463"/>
      <c r="CO13" s="463"/>
      <c r="CP13" s="463"/>
      <c r="CQ13" s="463"/>
      <c r="CR13" s="463"/>
      <c r="CS13" s="463"/>
      <c r="CT13" s="463"/>
      <c r="CU13" s="463"/>
      <c r="CV13" s="463"/>
      <c r="CW13" s="463"/>
      <c r="CX13" s="463"/>
      <c r="CY13" s="463"/>
      <c r="CZ13" s="463"/>
      <c r="DA13" s="463"/>
      <c r="DB13" s="463"/>
      <c r="DC13" s="463"/>
      <c r="DD13" s="463"/>
      <c r="DE13" s="463"/>
      <c r="DF13" s="463"/>
      <c r="DG13" s="463"/>
      <c r="DH13" s="463"/>
      <c r="DI13" s="463"/>
      <c r="DJ13" s="463"/>
      <c r="DK13" s="463"/>
      <c r="DL13" s="463"/>
      <c r="DM13" s="463"/>
      <c r="DN13" s="463"/>
      <c r="DO13" s="463"/>
      <c r="DP13" s="463"/>
      <c r="DQ13" s="463"/>
      <c r="DR13" s="463"/>
      <c r="DS13" s="463"/>
      <c r="DT13" s="463"/>
      <c r="DU13" s="463"/>
      <c r="DV13" s="463"/>
      <c r="DW13" s="463"/>
      <c r="DX13" s="463"/>
      <c r="DY13" s="463"/>
      <c r="DZ13" s="463"/>
      <c r="EA13" s="463"/>
      <c r="EB13" s="463"/>
      <c r="EC13" s="463"/>
      <c r="ED13" s="463"/>
      <c r="EE13" s="463"/>
      <c r="EF13" s="463"/>
      <c r="EG13" s="463"/>
      <c r="EH13" s="463"/>
      <c r="EI13" s="463"/>
      <c r="EJ13" s="463"/>
      <c r="EK13" s="463"/>
      <c r="EL13" s="463"/>
      <c r="EM13" s="463"/>
      <c r="EN13" s="463"/>
      <c r="EO13" s="463"/>
      <c r="EP13" s="463"/>
      <c r="EQ13" s="463"/>
      <c r="ER13" s="463"/>
      <c r="ES13" s="463"/>
      <c r="ET13" s="463"/>
      <c r="EU13" s="463"/>
      <c r="EV13" s="463"/>
      <c r="EW13" s="463"/>
      <c r="EX13" s="463"/>
      <c r="EY13" s="463"/>
      <c r="EZ13" s="463"/>
      <c r="FA13" s="463"/>
      <c r="FB13" s="463"/>
      <c r="FC13" s="463"/>
      <c r="FD13" s="463"/>
      <c r="FE13" s="463"/>
      <c r="FF13" s="463"/>
      <c r="FG13" s="463"/>
      <c r="FH13" s="463"/>
      <c r="FI13" s="463"/>
      <c r="FJ13" s="463"/>
      <c r="FK13" s="463"/>
      <c r="FL13" s="463"/>
      <c r="FM13" s="463"/>
      <c r="FN13" s="463"/>
      <c r="FO13" s="463"/>
      <c r="FP13" s="463"/>
      <c r="FQ13" s="463"/>
      <c r="FR13" s="463"/>
      <c r="FS13" s="463"/>
      <c r="FT13" s="463"/>
      <c r="FU13" s="463"/>
      <c r="FV13" s="463"/>
      <c r="FW13" s="463"/>
      <c r="FX13" s="463"/>
      <c r="FY13" s="463"/>
      <c r="FZ13" s="463"/>
      <c r="GA13" s="463"/>
      <c r="GB13" s="463"/>
      <c r="GC13" s="463"/>
      <c r="GD13" s="463"/>
      <c r="GE13" s="463"/>
      <c r="GF13" s="463"/>
      <c r="GG13" s="463"/>
      <c r="GH13" s="463"/>
      <c r="GI13" s="463"/>
      <c r="GJ13" s="463"/>
      <c r="GK13" s="463"/>
      <c r="GL13" s="463"/>
      <c r="GM13" s="463"/>
      <c r="GN13" s="463"/>
      <c r="GO13" s="463"/>
      <c r="GP13" s="463"/>
      <c r="GQ13" s="463"/>
      <c r="GR13" s="463"/>
      <c r="GS13" s="463"/>
      <c r="GT13" s="463"/>
      <c r="GU13" s="463"/>
      <c r="GV13" s="463"/>
      <c r="GW13" s="463"/>
      <c r="GX13" s="463"/>
      <c r="GY13" s="463"/>
      <c r="GZ13" s="463"/>
      <c r="HA13" s="463"/>
      <c r="HB13" s="463"/>
      <c r="HC13" s="463"/>
      <c r="HD13" s="463"/>
      <c r="HE13" s="463"/>
      <c r="HF13" s="463"/>
      <c r="HG13" s="463"/>
      <c r="HH13" s="463"/>
      <c r="HI13" s="463"/>
      <c r="HJ13" s="463"/>
      <c r="HK13" s="463"/>
      <c r="HL13" s="463"/>
      <c r="HM13" s="463"/>
      <c r="HN13" s="463"/>
      <c r="HO13" s="463"/>
      <c r="HP13" s="463"/>
      <c r="HQ13" s="463"/>
      <c r="HR13" s="463"/>
      <c r="HS13" s="463"/>
      <c r="HT13" s="463"/>
      <c r="HU13" s="463"/>
      <c r="HV13" s="463"/>
      <c r="HW13" s="463"/>
      <c r="HX13" s="463"/>
      <c r="HY13" s="463"/>
      <c r="HZ13" s="463"/>
      <c r="IA13" s="463"/>
      <c r="IB13" s="463"/>
      <c r="IC13" s="463"/>
      <c r="ID13" s="463"/>
      <c r="IE13" s="463"/>
      <c r="IF13" s="463"/>
      <c r="IG13" s="463"/>
      <c r="IH13" s="463"/>
      <c r="II13" s="463"/>
      <c r="IJ13" s="463"/>
      <c r="IK13" s="463"/>
      <c r="IL13" s="463"/>
      <c r="IM13" s="463"/>
      <c r="IN13" s="463"/>
      <c r="IO13" s="463"/>
      <c r="IP13" s="463"/>
      <c r="IQ13" s="463"/>
      <c r="IR13" s="463"/>
      <c r="IS13" s="463"/>
      <c r="IT13" s="463"/>
      <c r="IU13" s="463"/>
      <c r="IV13" s="463"/>
      <c r="IW13" s="463"/>
      <c r="IX13" s="463"/>
      <c r="IY13" s="463"/>
      <c r="IZ13" s="463"/>
      <c r="JA13" s="463"/>
      <c r="JB13" s="463"/>
      <c r="JC13" s="463"/>
      <c r="JD13" s="463"/>
      <c r="JE13" s="463"/>
      <c r="JF13" s="463"/>
      <c r="JG13" s="463"/>
      <c r="JH13" s="463"/>
      <c r="JI13" s="463"/>
      <c r="JJ13" s="463"/>
      <c r="JK13" s="463"/>
      <c r="JL13" s="463"/>
      <c r="JM13" s="463"/>
      <c r="JN13" s="463"/>
      <c r="JO13" s="463"/>
      <c r="JP13" s="463"/>
      <c r="JQ13" s="463"/>
      <c r="JR13" s="463"/>
      <c r="JS13" s="463"/>
      <c r="JT13" s="463"/>
      <c r="JU13" s="463"/>
      <c r="JV13" s="463"/>
      <c r="JW13" s="463"/>
      <c r="JX13" s="463"/>
      <c r="JY13" s="463"/>
      <c r="JZ13" s="463"/>
      <c r="KA13" s="463"/>
      <c r="KB13" s="463"/>
      <c r="KC13" s="463"/>
      <c r="KD13" s="463"/>
      <c r="KE13" s="463"/>
      <c r="KF13" s="463"/>
      <c r="KG13" s="463"/>
      <c r="KH13" s="463"/>
      <c r="KI13" s="463"/>
      <c r="KJ13" s="463"/>
      <c r="KK13" s="463"/>
      <c r="KL13" s="463"/>
      <c r="KM13" s="463"/>
      <c r="KN13" s="463"/>
      <c r="KO13" s="463"/>
      <c r="KP13" s="463"/>
      <c r="KQ13" s="463"/>
      <c r="KR13" s="463"/>
      <c r="KS13" s="463"/>
      <c r="KT13" s="463"/>
      <c r="KU13" s="463"/>
      <c r="KV13" s="463"/>
      <c r="KW13" s="463"/>
      <c r="KX13" s="463"/>
      <c r="KY13" s="463"/>
      <c r="KZ13" s="463"/>
      <c r="LA13" s="463"/>
      <c r="LB13" s="463"/>
      <c r="LC13" s="463"/>
      <c r="LD13" s="463"/>
      <c r="LE13" s="463"/>
      <c r="LF13" s="463"/>
      <c r="LG13" s="463"/>
      <c r="LH13" s="463"/>
      <c r="LI13" s="463"/>
      <c r="LJ13" s="463"/>
      <c r="LK13" s="463"/>
      <c r="LL13" s="463"/>
      <c r="LM13" s="463"/>
      <c r="LN13" s="463"/>
      <c r="LO13" s="463"/>
      <c r="LP13" s="463"/>
      <c r="LQ13" s="463"/>
      <c r="LR13" s="463"/>
      <c r="LS13" s="463"/>
      <c r="LT13" s="463"/>
      <c r="LU13" s="463"/>
      <c r="LV13" s="463"/>
      <c r="LW13" s="463"/>
      <c r="LX13" s="463"/>
      <c r="LY13" s="463"/>
      <c r="LZ13" s="463"/>
      <c r="MA13" s="463"/>
      <c r="MB13" s="463"/>
      <c r="MC13" s="463"/>
      <c r="MD13" s="463"/>
      <c r="ME13" s="463"/>
      <c r="MF13" s="463"/>
      <c r="MG13" s="463"/>
      <c r="MH13" s="463"/>
      <c r="MI13" s="463"/>
      <c r="MJ13" s="463"/>
      <c r="MK13" s="463"/>
      <c r="ML13" s="463"/>
      <c r="MM13" s="463"/>
      <c r="MN13" s="463"/>
      <c r="MO13" s="463"/>
      <c r="MP13" s="463"/>
      <c r="MQ13" s="463"/>
      <c r="MR13" s="463"/>
      <c r="MS13" s="463"/>
      <c r="MT13" s="463"/>
      <c r="MU13" s="463"/>
      <c r="MV13" s="463"/>
      <c r="MW13" s="463"/>
      <c r="MX13" s="463"/>
      <c r="MY13" s="463"/>
      <c r="MZ13" s="463"/>
      <c r="NA13" s="463"/>
      <c r="NB13" s="463"/>
      <c r="NC13" s="463"/>
      <c r="ND13" s="463"/>
      <c r="NE13" s="463"/>
      <c r="NF13" s="463"/>
      <c r="NG13" s="463"/>
      <c r="NH13" s="463"/>
      <c r="NI13" s="463"/>
      <c r="NJ13" s="463"/>
      <c r="NK13" s="463"/>
      <c r="NL13" s="463"/>
      <c r="NM13" s="463"/>
      <c r="NN13" s="463"/>
      <c r="NO13" s="463"/>
      <c r="NP13" s="463"/>
      <c r="NQ13" s="8"/>
      <c r="NR13" s="8"/>
      <c r="NS13" s="8"/>
      <c r="NT13" s="446"/>
      <c r="NU13" s="446"/>
      <c r="NV13" s="446"/>
      <c r="NW13" s="446"/>
      <c r="NX13" s="13">
        <v>106</v>
      </c>
      <c r="NY13" s="13">
        <v>80</v>
      </c>
      <c r="NZ13" s="13">
        <v>79</v>
      </c>
      <c r="OA13" s="13">
        <v>95</v>
      </c>
      <c r="OB13" s="13">
        <v>89</v>
      </c>
      <c r="OC13" s="13">
        <v>107</v>
      </c>
      <c r="OD13" s="13">
        <v>123</v>
      </c>
      <c r="OE13" s="13">
        <v>136</v>
      </c>
      <c r="OF13" s="13">
        <v>116</v>
      </c>
      <c r="OG13" s="13">
        <v>65</v>
      </c>
      <c r="OH13" s="13">
        <v>89</v>
      </c>
      <c r="OI13" s="13">
        <v>77</v>
      </c>
      <c r="OJ13" s="463"/>
      <c r="OK13" s="36">
        <f t="shared" si="3"/>
        <v>231</v>
      </c>
      <c r="OL13" s="10">
        <f t="shared" si="4"/>
        <v>77</v>
      </c>
      <c r="OM13" s="10">
        <f t="shared" si="5"/>
        <v>0</v>
      </c>
      <c r="ON13" s="10">
        <f t="shared" si="6"/>
        <v>96.833333333333329</v>
      </c>
      <c r="OO13" s="10">
        <f>IFERROR(SUM(A13:OJ13)/COUNTIF(A13:OJ13,"&gt;0"),0)</f>
        <v>96.833333333333329</v>
      </c>
      <c r="OR13" s="256"/>
      <c r="OS13" s="262"/>
      <c r="OT13" s="262"/>
      <c r="OU13" s="262"/>
      <c r="OV13" s="256"/>
    </row>
    <row r="14" spans="1:412">
      <c r="A14" s="8" t="s">
        <v>241</v>
      </c>
      <c r="B14" s="8" t="str">
        <f>VLOOKUP(A14,'미니게임_DATA(순)'!$A$4:$B$60,2,0)</f>
        <v>Y</v>
      </c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454"/>
      <c r="JI14" s="454"/>
      <c r="JJ14" s="454"/>
      <c r="JK14" s="454"/>
      <c r="JL14" s="454"/>
      <c r="JM14" s="454"/>
      <c r="JN14" s="454"/>
      <c r="JO14" s="454"/>
      <c r="JP14" s="454"/>
      <c r="JQ14" s="454"/>
      <c r="JR14" s="454"/>
      <c r="JS14" s="454"/>
      <c r="JT14" s="454"/>
      <c r="JU14" s="454"/>
      <c r="JV14" s="454"/>
      <c r="JW14" s="454"/>
      <c r="JX14" s="454"/>
      <c r="JY14" s="454"/>
      <c r="JZ14" s="454"/>
      <c r="KA14" s="454"/>
      <c r="KB14" s="454"/>
      <c r="KC14" s="8"/>
      <c r="KD14" s="8"/>
      <c r="KE14" s="8"/>
      <c r="KF14" s="8"/>
      <c r="KG14" s="8"/>
      <c r="KH14" s="8"/>
      <c r="KI14" s="8"/>
      <c r="KJ14" s="8"/>
      <c r="KK14" s="8"/>
      <c r="KL14" s="8">
        <v>107</v>
      </c>
      <c r="KM14" s="8">
        <v>138</v>
      </c>
      <c r="KN14" s="8">
        <v>115</v>
      </c>
      <c r="KO14" s="8">
        <v>170</v>
      </c>
      <c r="KP14" s="8">
        <v>196</v>
      </c>
      <c r="KQ14" s="250">
        <v>212</v>
      </c>
      <c r="KR14" s="250">
        <v>167</v>
      </c>
      <c r="KS14" s="250">
        <v>147</v>
      </c>
      <c r="KT14" s="250">
        <v>158</v>
      </c>
      <c r="KU14" s="250"/>
      <c r="KV14" s="250"/>
      <c r="KW14" s="250"/>
      <c r="KX14" s="250"/>
      <c r="KY14" s="250"/>
      <c r="KZ14" s="250"/>
      <c r="LA14" s="250"/>
      <c r="LB14" s="250"/>
      <c r="LC14" s="250"/>
      <c r="LD14" s="250"/>
      <c r="LE14" s="250"/>
      <c r="LF14" s="250"/>
      <c r="LG14" s="8">
        <v>181</v>
      </c>
      <c r="LH14" s="8">
        <v>156</v>
      </c>
      <c r="LI14" s="8">
        <v>201</v>
      </c>
      <c r="LJ14" s="8">
        <v>135</v>
      </c>
      <c r="LK14" s="8">
        <v>171</v>
      </c>
      <c r="LL14" s="8">
        <v>177</v>
      </c>
      <c r="LM14" s="8">
        <v>144</v>
      </c>
      <c r="LN14" s="8">
        <v>137</v>
      </c>
      <c r="LO14" s="8">
        <v>149</v>
      </c>
      <c r="LP14" s="8"/>
      <c r="LQ14" s="8"/>
      <c r="LR14" s="8"/>
      <c r="LS14" s="8">
        <v>167</v>
      </c>
      <c r="LT14" s="8">
        <v>132</v>
      </c>
      <c r="LU14" s="8">
        <v>162</v>
      </c>
      <c r="LV14" s="8"/>
      <c r="LW14" s="8"/>
      <c r="LX14" s="8"/>
      <c r="LY14" s="8"/>
      <c r="LZ14" s="8"/>
      <c r="MA14" s="8"/>
      <c r="MB14" s="8"/>
      <c r="MC14" s="8"/>
      <c r="MD14" s="8"/>
      <c r="ME14" s="258"/>
      <c r="MF14" s="258"/>
      <c r="MG14" s="258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>
        <v>169</v>
      </c>
      <c r="NG14" s="13">
        <v>165</v>
      </c>
      <c r="NH14" s="13">
        <v>134</v>
      </c>
      <c r="NI14" s="13"/>
      <c r="NJ14" s="13"/>
      <c r="NK14" s="13"/>
      <c r="NL14" s="13">
        <v>164</v>
      </c>
      <c r="NM14" s="13">
        <v>168</v>
      </c>
      <c r="NN14" s="13">
        <v>191</v>
      </c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>
        <v>141</v>
      </c>
      <c r="OB14" s="13">
        <v>160</v>
      </c>
      <c r="OC14" s="13">
        <v>181</v>
      </c>
      <c r="OD14" s="13">
        <v>133</v>
      </c>
      <c r="OE14" s="13">
        <v>189</v>
      </c>
      <c r="OF14" s="13">
        <v>164</v>
      </c>
      <c r="OG14" s="13"/>
      <c r="OH14" s="13"/>
      <c r="OI14" s="13"/>
      <c r="OJ14" s="8"/>
      <c r="OK14" s="36">
        <f t="shared" si="3"/>
        <v>0</v>
      </c>
      <c r="OL14" s="10">
        <f t="shared" si="4"/>
        <v>0</v>
      </c>
      <c r="OM14" s="10">
        <f t="shared" si="5"/>
        <v>158.1904761904762</v>
      </c>
      <c r="ON14" s="10">
        <f t="shared" si="6"/>
        <v>163.25</v>
      </c>
      <c r="OO14" s="10">
        <f t="shared" ref="OO14:OO29" si="7">SUM(A14:OJ14)/COUNTIF(A14:OJ14,"&gt;0")</f>
        <v>160.03030303030303</v>
      </c>
      <c r="OR14" s="256"/>
      <c r="OS14" s="262"/>
      <c r="OT14" s="262"/>
      <c r="OU14" s="262"/>
      <c r="OV14" s="256"/>
    </row>
    <row r="15" spans="1:412" ht="18.75">
      <c r="A15" s="8" t="s">
        <v>11</v>
      </c>
      <c r="B15" s="8" t="str">
        <f>VLOOKUP(A15,'미니게임_DATA(순)'!$A$4:$B$60,2,0)</f>
        <v>Y</v>
      </c>
      <c r="C15" s="13">
        <v>141</v>
      </c>
      <c r="D15" s="13">
        <v>156</v>
      </c>
      <c r="E15" s="13">
        <v>120</v>
      </c>
      <c r="F15" s="13">
        <v>177</v>
      </c>
      <c r="G15" s="13">
        <v>168</v>
      </c>
      <c r="H15" s="13">
        <v>197</v>
      </c>
      <c r="I15" s="13"/>
      <c r="J15" s="13"/>
      <c r="K15" s="13"/>
      <c r="L15" s="18">
        <v>157</v>
      </c>
      <c r="M15" s="18">
        <v>165</v>
      </c>
      <c r="N15" s="20">
        <v>207</v>
      </c>
      <c r="O15" s="18"/>
      <c r="P15" s="18"/>
      <c r="Q15" s="18"/>
      <c r="R15" s="18"/>
      <c r="S15" s="18"/>
      <c r="T15" s="18"/>
      <c r="U15" s="18">
        <v>161</v>
      </c>
      <c r="V15" s="18">
        <v>163</v>
      </c>
      <c r="W15" s="18">
        <v>167</v>
      </c>
      <c r="X15" s="18">
        <v>191</v>
      </c>
      <c r="Y15" s="18">
        <v>159</v>
      </c>
      <c r="Z15" s="18">
        <v>166</v>
      </c>
      <c r="AA15" s="18">
        <v>135</v>
      </c>
      <c r="AB15" s="18">
        <v>150</v>
      </c>
      <c r="AC15" s="20">
        <v>215</v>
      </c>
      <c r="AD15" s="18"/>
      <c r="AE15" s="18"/>
      <c r="AF15" s="18"/>
      <c r="AG15" s="18">
        <v>173</v>
      </c>
      <c r="AH15" s="18">
        <v>180</v>
      </c>
      <c r="AI15" s="18">
        <v>172</v>
      </c>
      <c r="AJ15" s="18">
        <v>168</v>
      </c>
      <c r="AK15" s="18">
        <v>184</v>
      </c>
      <c r="AL15" s="18">
        <v>153</v>
      </c>
      <c r="AM15" s="18"/>
      <c r="AN15" s="18"/>
      <c r="AO15" s="18"/>
      <c r="AP15" s="18"/>
      <c r="AQ15" s="18">
        <v>192</v>
      </c>
      <c r="AR15" s="18">
        <v>136</v>
      </c>
      <c r="AS15" s="18">
        <v>108</v>
      </c>
      <c r="AT15" s="18">
        <v>124</v>
      </c>
      <c r="AU15" s="20">
        <v>211</v>
      </c>
      <c r="AV15" s="18">
        <v>163</v>
      </c>
      <c r="AW15" s="18">
        <v>142</v>
      </c>
      <c r="AX15" s="18">
        <v>144</v>
      </c>
      <c r="AY15" s="18"/>
      <c r="AZ15" s="18">
        <v>164</v>
      </c>
      <c r="BA15" s="18">
        <v>116</v>
      </c>
      <c r="BB15" s="18">
        <v>146</v>
      </c>
      <c r="BC15" s="18">
        <v>154</v>
      </c>
      <c r="BD15" s="18"/>
      <c r="BE15" s="18">
        <v>196</v>
      </c>
      <c r="BF15" s="18">
        <v>166</v>
      </c>
      <c r="BG15" s="18">
        <v>140</v>
      </c>
      <c r="BH15" s="18"/>
      <c r="BI15" s="18"/>
      <c r="BJ15" s="18"/>
      <c r="BK15" s="18"/>
      <c r="BL15" s="18">
        <v>177</v>
      </c>
      <c r="BM15" s="18">
        <v>134</v>
      </c>
      <c r="BN15" s="18">
        <v>165</v>
      </c>
      <c r="BO15" s="18">
        <v>141</v>
      </c>
      <c r="BP15" s="18"/>
      <c r="BQ15" s="18">
        <v>183</v>
      </c>
      <c r="BR15" s="18">
        <v>177</v>
      </c>
      <c r="BS15" s="20">
        <v>226</v>
      </c>
      <c r="BT15" s="18">
        <v>197</v>
      </c>
      <c r="BU15" s="18">
        <v>140</v>
      </c>
      <c r="BV15" s="18">
        <v>156</v>
      </c>
      <c r="BW15" s="18"/>
      <c r="BX15" s="18"/>
      <c r="BY15" s="18"/>
      <c r="BZ15" s="18"/>
      <c r="CA15" s="18"/>
      <c r="CB15" s="18"/>
      <c r="CC15" s="18"/>
      <c r="CD15" s="18">
        <v>139</v>
      </c>
      <c r="CE15" s="18">
        <v>143</v>
      </c>
      <c r="CF15" s="18">
        <v>180</v>
      </c>
      <c r="CG15" s="18">
        <v>170</v>
      </c>
      <c r="CH15" s="18">
        <v>190</v>
      </c>
      <c r="CI15" s="18">
        <v>191</v>
      </c>
      <c r="CJ15" s="20">
        <v>205</v>
      </c>
      <c r="CK15" s="18">
        <v>198</v>
      </c>
      <c r="CL15" s="18">
        <v>168</v>
      </c>
      <c r="CM15" s="18"/>
      <c r="CN15" s="18"/>
      <c r="CO15" s="18"/>
      <c r="CP15" s="18"/>
      <c r="CQ15" s="18"/>
      <c r="CR15" s="18"/>
      <c r="CS15" s="18">
        <v>150</v>
      </c>
      <c r="CT15" s="18">
        <v>189</v>
      </c>
      <c r="CU15" s="21">
        <v>211</v>
      </c>
      <c r="CV15" s="18"/>
      <c r="CW15" s="18"/>
      <c r="CX15" s="18"/>
      <c r="CY15" s="18"/>
      <c r="CZ15" s="18"/>
      <c r="DA15" s="18"/>
      <c r="DB15" s="18"/>
      <c r="DC15" s="18"/>
      <c r="DD15" s="18"/>
      <c r="DE15" s="18">
        <v>169</v>
      </c>
      <c r="DF15" s="20">
        <v>231</v>
      </c>
      <c r="DG15" s="18">
        <v>104</v>
      </c>
      <c r="DH15" s="18">
        <v>164</v>
      </c>
      <c r="DI15" s="20">
        <v>225</v>
      </c>
      <c r="DJ15" s="18">
        <v>169</v>
      </c>
      <c r="DK15" s="18"/>
      <c r="DL15" s="18"/>
      <c r="DM15" s="18"/>
      <c r="DN15" s="18"/>
      <c r="DO15" s="18">
        <v>178</v>
      </c>
      <c r="DP15" s="18">
        <v>191</v>
      </c>
      <c r="DQ15" s="18">
        <v>132</v>
      </c>
      <c r="DR15" s="18"/>
      <c r="DS15" s="18"/>
      <c r="DT15" s="18"/>
      <c r="DU15" s="18">
        <v>133</v>
      </c>
      <c r="DV15" s="18">
        <v>151</v>
      </c>
      <c r="DW15" s="20">
        <v>211</v>
      </c>
      <c r="DX15" s="18">
        <v>154</v>
      </c>
      <c r="DY15" s="18">
        <v>144</v>
      </c>
      <c r="DZ15" s="18">
        <v>136</v>
      </c>
      <c r="EA15" s="18">
        <v>151</v>
      </c>
      <c r="EB15" s="18">
        <v>160</v>
      </c>
      <c r="EC15" s="18">
        <v>147</v>
      </c>
      <c r="ED15" s="18">
        <v>145</v>
      </c>
      <c r="EE15" s="18">
        <v>149</v>
      </c>
      <c r="EF15" s="18">
        <v>169</v>
      </c>
      <c r="EG15" s="18"/>
      <c r="EH15" s="18"/>
      <c r="EI15" s="18">
        <v>142</v>
      </c>
      <c r="EJ15" s="18">
        <v>171</v>
      </c>
      <c r="EK15" s="18">
        <v>164</v>
      </c>
      <c r="EL15" s="20">
        <v>200</v>
      </c>
      <c r="EM15" s="18">
        <v>175</v>
      </c>
      <c r="EN15" s="18">
        <v>150</v>
      </c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>
        <v>154</v>
      </c>
      <c r="FF15" s="18">
        <v>148</v>
      </c>
      <c r="FG15" s="18">
        <v>160</v>
      </c>
      <c r="FH15" s="18">
        <v>170</v>
      </c>
      <c r="FI15" s="18">
        <v>171</v>
      </c>
      <c r="FJ15" s="18">
        <v>180</v>
      </c>
      <c r="FK15" s="18">
        <v>167</v>
      </c>
      <c r="FL15" s="20">
        <v>210</v>
      </c>
      <c r="FM15" s="18">
        <v>134</v>
      </c>
      <c r="FN15" s="18">
        <v>199</v>
      </c>
      <c r="FO15" s="18">
        <v>149</v>
      </c>
      <c r="FP15" s="20">
        <v>210</v>
      </c>
      <c r="FQ15" s="18">
        <v>116</v>
      </c>
      <c r="FR15" s="18">
        <v>138</v>
      </c>
      <c r="FS15" s="18">
        <v>117</v>
      </c>
      <c r="FT15" s="18">
        <v>195</v>
      </c>
      <c r="FU15" s="20">
        <v>215</v>
      </c>
      <c r="FV15" s="18">
        <v>175</v>
      </c>
      <c r="FW15" s="18">
        <v>143</v>
      </c>
      <c r="FX15" s="18">
        <v>164</v>
      </c>
      <c r="FY15" s="18"/>
      <c r="FZ15" s="18"/>
      <c r="GA15" s="18"/>
      <c r="GB15" s="18"/>
      <c r="GC15" s="18"/>
      <c r="GD15" s="18"/>
      <c r="GE15" s="18"/>
      <c r="GF15" s="18">
        <v>126</v>
      </c>
      <c r="GG15" s="18">
        <v>181</v>
      </c>
      <c r="GH15" s="18">
        <v>190</v>
      </c>
      <c r="GI15" s="18">
        <v>119</v>
      </c>
      <c r="GJ15" s="18">
        <v>140</v>
      </c>
      <c r="GK15" s="18">
        <v>192</v>
      </c>
      <c r="GL15" s="18">
        <v>184</v>
      </c>
      <c r="GM15" s="18">
        <v>202</v>
      </c>
      <c r="GN15" s="18">
        <v>170</v>
      </c>
      <c r="GO15" s="20">
        <v>203</v>
      </c>
      <c r="GP15" s="18">
        <v>186</v>
      </c>
      <c r="GQ15" s="18">
        <v>166</v>
      </c>
      <c r="GR15" s="18">
        <v>182</v>
      </c>
      <c r="GS15" s="18">
        <v>193</v>
      </c>
      <c r="GT15" s="18">
        <v>184</v>
      </c>
      <c r="GU15" s="18">
        <v>134</v>
      </c>
      <c r="GV15" s="18">
        <v>193</v>
      </c>
      <c r="GW15" s="18">
        <v>175</v>
      </c>
      <c r="GX15" s="18"/>
      <c r="GY15" s="18"/>
      <c r="GZ15" s="18"/>
      <c r="HA15" s="18"/>
      <c r="HB15" s="18"/>
      <c r="HC15" s="18"/>
      <c r="HD15" s="18">
        <v>133</v>
      </c>
      <c r="HE15" s="18">
        <v>185</v>
      </c>
      <c r="HF15" s="23">
        <v>194</v>
      </c>
      <c r="HG15" s="18">
        <v>174</v>
      </c>
      <c r="HH15" s="18">
        <v>125</v>
      </c>
      <c r="HI15" s="18">
        <v>165</v>
      </c>
      <c r="HJ15" s="18"/>
      <c r="HK15" s="18"/>
      <c r="HL15" s="18"/>
      <c r="HM15" s="18">
        <v>198</v>
      </c>
      <c r="HN15" s="18">
        <v>187</v>
      </c>
      <c r="HO15" s="18">
        <v>168</v>
      </c>
      <c r="HP15" s="18">
        <v>176</v>
      </c>
      <c r="HQ15" s="18">
        <v>155</v>
      </c>
      <c r="HR15" s="18">
        <v>125</v>
      </c>
      <c r="HS15" s="18">
        <v>139</v>
      </c>
      <c r="HT15" s="18">
        <v>159</v>
      </c>
      <c r="HU15" s="18">
        <v>178</v>
      </c>
      <c r="HV15" s="18">
        <v>168</v>
      </c>
      <c r="HW15" s="18">
        <v>214</v>
      </c>
      <c r="HX15" s="18">
        <v>138</v>
      </c>
      <c r="HY15" s="28">
        <v>191</v>
      </c>
      <c r="HZ15" s="28">
        <v>164</v>
      </c>
      <c r="IA15" s="28">
        <v>224</v>
      </c>
      <c r="IB15" s="18">
        <v>157</v>
      </c>
      <c r="IC15" s="18">
        <v>208</v>
      </c>
      <c r="ID15" s="18">
        <v>152</v>
      </c>
      <c r="IE15" s="18">
        <v>185</v>
      </c>
      <c r="IF15" s="18">
        <v>181</v>
      </c>
      <c r="IG15" s="18">
        <v>159</v>
      </c>
      <c r="IH15" s="18">
        <v>180</v>
      </c>
      <c r="II15" s="18">
        <v>193</v>
      </c>
      <c r="IJ15" s="18">
        <v>163</v>
      </c>
      <c r="IK15" s="18">
        <v>203</v>
      </c>
      <c r="IL15" s="18">
        <v>165</v>
      </c>
      <c r="IM15" s="18">
        <v>153</v>
      </c>
      <c r="IN15" s="18"/>
      <c r="IO15" s="18"/>
      <c r="IP15" s="18"/>
      <c r="IQ15" s="18">
        <v>156</v>
      </c>
      <c r="IR15" s="18">
        <v>149</v>
      </c>
      <c r="IS15" s="18">
        <v>166</v>
      </c>
      <c r="IT15" s="18">
        <v>169</v>
      </c>
      <c r="IU15" s="18">
        <v>160</v>
      </c>
      <c r="IV15" s="18">
        <v>181</v>
      </c>
      <c r="IW15" s="18"/>
      <c r="IX15" s="18"/>
      <c r="IY15" s="18">
        <v>104</v>
      </c>
      <c r="IZ15" s="18">
        <v>167</v>
      </c>
      <c r="JA15" s="18">
        <v>162</v>
      </c>
      <c r="JB15" s="18">
        <v>170</v>
      </c>
      <c r="JC15" s="18">
        <v>148</v>
      </c>
      <c r="JD15" s="18">
        <v>155</v>
      </c>
      <c r="JE15" s="18">
        <v>128</v>
      </c>
      <c r="JF15" s="23">
        <v>211</v>
      </c>
      <c r="JG15" s="18">
        <v>124</v>
      </c>
      <c r="JH15" s="8">
        <v>172</v>
      </c>
      <c r="JI15" s="8">
        <v>132</v>
      </c>
      <c r="JJ15" s="8">
        <v>170</v>
      </c>
      <c r="JK15" s="8">
        <v>208</v>
      </c>
      <c r="JL15" s="8">
        <v>153</v>
      </c>
      <c r="JM15" s="8">
        <v>208</v>
      </c>
      <c r="JN15" s="8"/>
      <c r="JO15" s="8"/>
      <c r="JP15" s="8"/>
      <c r="JQ15" s="8">
        <v>155</v>
      </c>
      <c r="JR15" s="8">
        <v>175</v>
      </c>
      <c r="JS15" s="8">
        <v>181</v>
      </c>
      <c r="JT15" s="8">
        <v>146</v>
      </c>
      <c r="JU15" s="8">
        <v>177</v>
      </c>
      <c r="JV15" s="8">
        <v>146</v>
      </c>
      <c r="JW15" s="8">
        <v>157</v>
      </c>
      <c r="JX15" s="8">
        <v>143</v>
      </c>
      <c r="JY15" s="8">
        <v>181</v>
      </c>
      <c r="JZ15" s="8">
        <v>160</v>
      </c>
      <c r="KA15" s="8">
        <v>172</v>
      </c>
      <c r="KB15" s="8">
        <v>173</v>
      </c>
      <c r="KC15" s="8">
        <v>163</v>
      </c>
      <c r="KD15" s="8">
        <v>186</v>
      </c>
      <c r="KE15" s="8">
        <v>141</v>
      </c>
      <c r="KF15" s="8"/>
      <c r="KG15" s="8"/>
      <c r="KH15" s="8"/>
      <c r="KI15" s="8">
        <v>169</v>
      </c>
      <c r="KJ15" s="8">
        <v>181</v>
      </c>
      <c r="KK15" s="8">
        <v>190</v>
      </c>
      <c r="KL15" s="8">
        <v>224</v>
      </c>
      <c r="KM15" s="8">
        <v>153</v>
      </c>
      <c r="KN15" s="8">
        <v>119</v>
      </c>
      <c r="KO15" s="8">
        <v>167</v>
      </c>
      <c r="KP15" s="8">
        <v>177</v>
      </c>
      <c r="KQ15" s="8">
        <v>148</v>
      </c>
      <c r="KR15" s="8">
        <v>167</v>
      </c>
      <c r="KS15" s="8">
        <v>152</v>
      </c>
      <c r="KT15" s="8">
        <v>183</v>
      </c>
      <c r="KU15" s="8"/>
      <c r="KV15" s="8"/>
      <c r="KW15" s="8"/>
      <c r="KX15" s="8">
        <v>135</v>
      </c>
      <c r="KY15" s="8">
        <v>159</v>
      </c>
      <c r="KZ15" s="8">
        <v>197</v>
      </c>
      <c r="LA15" s="8">
        <v>139</v>
      </c>
      <c r="LB15" s="8">
        <v>151</v>
      </c>
      <c r="LC15" s="8">
        <v>193</v>
      </c>
      <c r="LD15" s="8">
        <v>168</v>
      </c>
      <c r="LE15" s="8">
        <v>171</v>
      </c>
      <c r="LF15" s="8">
        <v>154</v>
      </c>
      <c r="LG15" s="8">
        <v>166</v>
      </c>
      <c r="LH15" s="8">
        <v>149</v>
      </c>
      <c r="LI15" s="8">
        <v>148</v>
      </c>
      <c r="LJ15" s="8"/>
      <c r="LK15" s="8"/>
      <c r="LL15" s="8"/>
      <c r="LM15" s="8">
        <v>162</v>
      </c>
      <c r="LN15" s="8">
        <v>148</v>
      </c>
      <c r="LO15" s="8">
        <v>142</v>
      </c>
      <c r="LP15" s="8"/>
      <c r="LQ15" s="8"/>
      <c r="LR15" s="8"/>
      <c r="LS15" s="8">
        <v>140</v>
      </c>
      <c r="LT15" s="8">
        <v>209</v>
      </c>
      <c r="LU15" s="8">
        <v>165</v>
      </c>
      <c r="LV15" s="8"/>
      <c r="LW15" s="8"/>
      <c r="LX15" s="8"/>
      <c r="LY15" s="8">
        <v>144</v>
      </c>
      <c r="LZ15" s="8">
        <v>207</v>
      </c>
      <c r="MA15" s="8">
        <v>149</v>
      </c>
      <c r="MB15" s="8">
        <v>126</v>
      </c>
      <c r="MC15" s="8">
        <v>171</v>
      </c>
      <c r="MD15" s="8">
        <v>139</v>
      </c>
      <c r="ME15" s="258"/>
      <c r="MF15" s="258"/>
      <c r="MG15" s="258"/>
      <c r="MH15" s="13">
        <v>123</v>
      </c>
      <c r="MI15" s="13">
        <v>199</v>
      </c>
      <c r="MJ15" s="13">
        <v>144</v>
      </c>
      <c r="MK15" s="13"/>
      <c r="ML15" s="13"/>
      <c r="MM15" s="13"/>
      <c r="MN15" s="13"/>
      <c r="MO15" s="13"/>
      <c r="MP15" s="13"/>
      <c r="MQ15" s="13"/>
      <c r="MR15" s="13"/>
      <c r="MS15" s="13">
        <v>174</v>
      </c>
      <c r="MT15" s="13">
        <v>185</v>
      </c>
      <c r="MU15" s="13">
        <v>135</v>
      </c>
      <c r="MV15" s="13">
        <v>201</v>
      </c>
      <c r="MW15" s="13">
        <v>172</v>
      </c>
      <c r="MX15" s="13">
        <v>152</v>
      </c>
      <c r="MY15" s="13">
        <v>154</v>
      </c>
      <c r="MZ15" s="13">
        <v>178</v>
      </c>
      <c r="NA15" s="13">
        <v>160</v>
      </c>
      <c r="NB15" s="13">
        <v>148</v>
      </c>
      <c r="NC15" s="13">
        <v>165</v>
      </c>
      <c r="ND15" s="13">
        <v>193</v>
      </c>
      <c r="NE15" s="13">
        <v>192</v>
      </c>
      <c r="NF15" s="13">
        <v>133</v>
      </c>
      <c r="NG15" s="13">
        <v>137</v>
      </c>
      <c r="NH15" s="321">
        <v>205</v>
      </c>
      <c r="NI15" s="13">
        <v>138</v>
      </c>
      <c r="NJ15" s="13">
        <v>162</v>
      </c>
      <c r="NK15" s="13">
        <v>168</v>
      </c>
      <c r="NL15" s="13">
        <v>166</v>
      </c>
      <c r="NM15" s="13">
        <v>160</v>
      </c>
      <c r="NN15" s="13">
        <v>212</v>
      </c>
      <c r="NO15" s="13">
        <v>162</v>
      </c>
      <c r="NP15" s="13">
        <v>159</v>
      </c>
      <c r="NQ15" s="13">
        <v>114</v>
      </c>
      <c r="NR15" s="13">
        <v>161</v>
      </c>
      <c r="NS15" s="13">
        <v>122</v>
      </c>
      <c r="NT15" s="13">
        <v>173</v>
      </c>
      <c r="NU15" s="13">
        <v>168</v>
      </c>
      <c r="NV15" s="13">
        <v>163</v>
      </c>
      <c r="NW15" s="13">
        <v>145</v>
      </c>
      <c r="NX15" s="13">
        <v>149</v>
      </c>
      <c r="NY15" s="13">
        <v>197</v>
      </c>
      <c r="NZ15" s="13">
        <v>153</v>
      </c>
      <c r="OA15" s="13"/>
      <c r="OB15" s="13"/>
      <c r="OC15" s="13"/>
      <c r="OD15" s="13">
        <v>143</v>
      </c>
      <c r="OE15" s="13">
        <v>154</v>
      </c>
      <c r="OF15" s="13">
        <v>162</v>
      </c>
      <c r="OG15" s="13"/>
      <c r="OH15" s="13"/>
      <c r="OI15" s="13"/>
      <c r="OJ15" s="8"/>
      <c r="OK15" s="36">
        <f t="shared" si="3"/>
        <v>0</v>
      </c>
      <c r="OL15" s="10">
        <f t="shared" si="4"/>
        <v>0</v>
      </c>
      <c r="OM15" s="10">
        <f t="shared" si="5"/>
        <v>162.2608695652174</v>
      </c>
      <c r="ON15" s="10">
        <f t="shared" si="6"/>
        <v>162.56756756756758</v>
      </c>
      <c r="OO15" s="10">
        <f t="shared" si="7"/>
        <v>165.52767527675277</v>
      </c>
      <c r="OR15" s="256"/>
      <c r="OS15" s="262"/>
      <c r="OT15" s="262"/>
      <c r="OU15" s="262"/>
      <c r="OV15" s="256"/>
    </row>
    <row r="16" spans="1:412" ht="18.75">
      <c r="A16" s="454" t="s">
        <v>414</v>
      </c>
      <c r="B16" s="463" t="s">
        <v>415</v>
      </c>
      <c r="C16" s="374"/>
      <c r="D16" s="374"/>
      <c r="E16" s="374"/>
      <c r="F16" s="374"/>
      <c r="G16" s="374"/>
      <c r="H16" s="374"/>
      <c r="I16" s="374"/>
      <c r="J16" s="374"/>
      <c r="K16" s="374"/>
      <c r="L16" s="454"/>
      <c r="M16" s="454"/>
      <c r="N16" s="454"/>
      <c r="O16" s="454"/>
      <c r="P16" s="454"/>
      <c r="Q16" s="454"/>
      <c r="R16" s="454"/>
      <c r="S16" s="454"/>
      <c r="T16" s="454"/>
      <c r="U16" s="454"/>
      <c r="V16" s="454"/>
      <c r="W16" s="454"/>
      <c r="X16" s="454"/>
      <c r="Y16" s="454"/>
      <c r="Z16" s="454"/>
      <c r="AA16" s="454"/>
      <c r="AB16" s="454"/>
      <c r="AC16" s="454"/>
      <c r="AD16" s="454"/>
      <c r="AE16" s="454"/>
      <c r="AF16" s="454"/>
      <c r="AG16" s="454"/>
      <c r="AH16" s="454"/>
      <c r="AI16" s="454"/>
      <c r="AJ16" s="454"/>
      <c r="AK16" s="454"/>
      <c r="AL16" s="454"/>
      <c r="AM16" s="454"/>
      <c r="AN16" s="454"/>
      <c r="AO16" s="454"/>
      <c r="AP16" s="454"/>
      <c r="AQ16" s="454"/>
      <c r="AR16" s="454"/>
      <c r="AS16" s="454"/>
      <c r="AT16" s="454"/>
      <c r="AU16" s="454"/>
      <c r="AV16" s="454"/>
      <c r="AW16" s="454"/>
      <c r="AX16" s="454"/>
      <c r="AY16" s="454"/>
      <c r="AZ16" s="454"/>
      <c r="BA16" s="454"/>
      <c r="BB16" s="454"/>
      <c r="BC16" s="454"/>
      <c r="BD16" s="454"/>
      <c r="BE16" s="454"/>
      <c r="BF16" s="454"/>
      <c r="BG16" s="454"/>
      <c r="BH16" s="454"/>
      <c r="BI16" s="454"/>
      <c r="BJ16" s="454"/>
      <c r="BK16" s="454"/>
      <c r="BL16" s="454"/>
      <c r="BM16" s="454"/>
      <c r="BN16" s="454"/>
      <c r="BO16" s="454"/>
      <c r="BP16" s="454"/>
      <c r="BQ16" s="454"/>
      <c r="BR16" s="454"/>
      <c r="BS16" s="454"/>
      <c r="BT16" s="454"/>
      <c r="BU16" s="454"/>
      <c r="BV16" s="454"/>
      <c r="BW16" s="454"/>
      <c r="BX16" s="454"/>
      <c r="BY16" s="454"/>
      <c r="BZ16" s="454"/>
      <c r="CA16" s="454"/>
      <c r="CB16" s="454"/>
      <c r="CC16" s="454"/>
      <c r="CD16" s="454"/>
      <c r="CE16" s="454"/>
      <c r="CF16" s="454"/>
      <c r="CG16" s="454"/>
      <c r="CH16" s="454"/>
      <c r="CI16" s="454"/>
      <c r="CJ16" s="454"/>
      <c r="CK16" s="454"/>
      <c r="CL16" s="454"/>
      <c r="CM16" s="454"/>
      <c r="CN16" s="454"/>
      <c r="CO16" s="454"/>
      <c r="CP16" s="454"/>
      <c r="CQ16" s="454"/>
      <c r="CR16" s="454"/>
      <c r="CS16" s="454"/>
      <c r="CT16" s="454"/>
      <c r="CU16" s="454"/>
      <c r="CV16" s="454"/>
      <c r="CW16" s="454"/>
      <c r="CX16" s="454"/>
      <c r="CY16" s="454"/>
      <c r="CZ16" s="454"/>
      <c r="DA16" s="454"/>
      <c r="DB16" s="454"/>
      <c r="DC16" s="454"/>
      <c r="DD16" s="454"/>
      <c r="DE16" s="454"/>
      <c r="DF16" s="454"/>
      <c r="DG16" s="454"/>
      <c r="DH16" s="454"/>
      <c r="DI16" s="454"/>
      <c r="DJ16" s="454"/>
      <c r="DK16" s="454"/>
      <c r="DL16" s="454"/>
      <c r="DM16" s="454"/>
      <c r="DN16" s="454"/>
      <c r="DO16" s="454"/>
      <c r="DP16" s="454"/>
      <c r="DQ16" s="454"/>
      <c r="DR16" s="454"/>
      <c r="DS16" s="454"/>
      <c r="DT16" s="454"/>
      <c r="DU16" s="454"/>
      <c r="DV16" s="454"/>
      <c r="DW16" s="454"/>
      <c r="DX16" s="454"/>
      <c r="DY16" s="454"/>
      <c r="DZ16" s="454"/>
      <c r="EA16" s="454"/>
      <c r="EB16" s="454"/>
      <c r="EC16" s="454"/>
      <c r="ED16" s="454"/>
      <c r="EE16" s="454"/>
      <c r="EF16" s="454"/>
      <c r="EG16" s="454"/>
      <c r="EH16" s="454"/>
      <c r="EI16" s="454"/>
      <c r="EJ16" s="454"/>
      <c r="EK16" s="454"/>
      <c r="EL16" s="454"/>
      <c r="EM16" s="454"/>
      <c r="EN16" s="454"/>
      <c r="EO16" s="454"/>
      <c r="EP16" s="454"/>
      <c r="EQ16" s="454"/>
      <c r="ER16" s="454"/>
      <c r="ES16" s="454"/>
      <c r="ET16" s="454"/>
      <c r="EU16" s="454"/>
      <c r="EV16" s="454"/>
      <c r="EW16" s="454"/>
      <c r="EX16" s="454"/>
      <c r="EY16" s="454"/>
      <c r="EZ16" s="454"/>
      <c r="FA16" s="454"/>
      <c r="FB16" s="454"/>
      <c r="FC16" s="454"/>
      <c r="FD16" s="454"/>
      <c r="FE16" s="454"/>
      <c r="FF16" s="454"/>
      <c r="FG16" s="454"/>
      <c r="FH16" s="454"/>
      <c r="FI16" s="454"/>
      <c r="FJ16" s="454"/>
      <c r="FK16" s="454"/>
      <c r="FL16" s="454"/>
      <c r="FM16" s="454"/>
      <c r="FN16" s="454"/>
      <c r="FO16" s="454"/>
      <c r="FP16" s="454"/>
      <c r="FQ16" s="454"/>
      <c r="FR16" s="454"/>
      <c r="FS16" s="454"/>
      <c r="FT16" s="454"/>
      <c r="FU16" s="454"/>
      <c r="FV16" s="454"/>
      <c r="FW16" s="454"/>
      <c r="FX16" s="454"/>
      <c r="FY16" s="454"/>
      <c r="FZ16" s="454"/>
      <c r="GA16" s="454"/>
      <c r="GB16" s="454"/>
      <c r="GC16" s="454"/>
      <c r="GD16" s="454"/>
      <c r="GE16" s="454"/>
      <c r="GF16" s="454"/>
      <c r="GG16" s="454"/>
      <c r="GH16" s="454"/>
      <c r="GI16" s="454"/>
      <c r="GJ16" s="454"/>
      <c r="GK16" s="454"/>
      <c r="GL16" s="454"/>
      <c r="GM16" s="454"/>
      <c r="GN16" s="454"/>
      <c r="GO16" s="454"/>
      <c r="GP16" s="454"/>
      <c r="GQ16" s="454"/>
      <c r="GR16" s="454"/>
      <c r="GS16" s="454"/>
      <c r="GT16" s="454"/>
      <c r="GU16" s="454"/>
      <c r="GV16" s="454"/>
      <c r="GW16" s="454"/>
      <c r="GX16" s="454"/>
      <c r="GY16" s="454"/>
      <c r="GZ16" s="454"/>
      <c r="HA16" s="454"/>
      <c r="HB16" s="454"/>
      <c r="HC16" s="454"/>
      <c r="HD16" s="454"/>
      <c r="HE16" s="454"/>
      <c r="HF16" s="454"/>
      <c r="HG16" s="454"/>
      <c r="HH16" s="454"/>
      <c r="HI16" s="454"/>
      <c r="HJ16" s="454"/>
      <c r="HK16" s="454"/>
      <c r="HL16" s="454"/>
      <c r="HM16" s="454"/>
      <c r="HN16" s="454"/>
      <c r="HO16" s="454"/>
      <c r="HP16" s="454"/>
      <c r="HQ16" s="454"/>
      <c r="HR16" s="454"/>
      <c r="HS16" s="454"/>
      <c r="HT16" s="454"/>
      <c r="HU16" s="454"/>
      <c r="HV16" s="454"/>
      <c r="HW16" s="454"/>
      <c r="HX16" s="454"/>
      <c r="HY16" s="454"/>
      <c r="HZ16" s="454"/>
      <c r="IA16" s="454"/>
      <c r="IB16" s="454"/>
      <c r="IC16" s="454"/>
      <c r="ID16" s="454"/>
      <c r="IE16" s="454"/>
      <c r="IF16" s="454"/>
      <c r="IG16" s="454"/>
      <c r="IH16" s="454"/>
      <c r="II16" s="454"/>
      <c r="IJ16" s="454"/>
      <c r="IK16" s="454"/>
      <c r="IL16" s="454"/>
      <c r="IM16" s="454"/>
      <c r="IN16" s="454"/>
      <c r="IO16" s="454"/>
      <c r="IP16" s="454"/>
      <c r="IQ16" s="454"/>
      <c r="IR16" s="454"/>
      <c r="IS16" s="454"/>
      <c r="IT16" s="454"/>
      <c r="IU16" s="454"/>
      <c r="IV16" s="454"/>
      <c r="IW16" s="454"/>
      <c r="IX16" s="454"/>
      <c r="IY16" s="454"/>
      <c r="IZ16" s="454"/>
      <c r="JA16" s="454"/>
      <c r="JB16" s="454"/>
      <c r="JC16" s="454"/>
      <c r="JD16" s="454"/>
      <c r="JE16" s="454"/>
      <c r="JF16" s="454"/>
      <c r="JG16" s="454"/>
      <c r="JH16" s="454"/>
      <c r="JI16" s="454"/>
      <c r="JJ16" s="454"/>
      <c r="JK16" s="454"/>
      <c r="JL16" s="454"/>
      <c r="JM16" s="454"/>
      <c r="JN16" s="454"/>
      <c r="JO16" s="454"/>
      <c r="JP16" s="454"/>
      <c r="JQ16" s="454"/>
      <c r="JR16" s="454"/>
      <c r="JS16" s="454"/>
      <c r="JT16" s="454"/>
      <c r="JU16" s="454"/>
      <c r="JV16" s="454"/>
      <c r="JW16" s="454"/>
      <c r="JX16" s="454"/>
      <c r="JY16" s="454"/>
      <c r="JZ16" s="454"/>
      <c r="KA16" s="454"/>
      <c r="KB16" s="454"/>
      <c r="KC16" s="454"/>
      <c r="KD16" s="454"/>
      <c r="KE16" s="454"/>
      <c r="KF16" s="454"/>
      <c r="KG16" s="454"/>
      <c r="KH16" s="454"/>
      <c r="KI16" s="454"/>
      <c r="KJ16" s="454"/>
      <c r="KK16" s="454"/>
      <c r="KL16" s="454"/>
      <c r="KM16" s="454"/>
      <c r="KN16" s="454"/>
      <c r="KO16" s="454"/>
      <c r="KP16" s="454"/>
      <c r="KQ16" s="454"/>
      <c r="KR16" s="454"/>
      <c r="KS16" s="454"/>
      <c r="KT16" s="454"/>
      <c r="KU16" s="454"/>
      <c r="KV16" s="454"/>
      <c r="KW16" s="454"/>
      <c r="KX16" s="454"/>
      <c r="KY16" s="454"/>
      <c r="KZ16" s="454"/>
      <c r="LA16" s="454"/>
      <c r="LB16" s="454"/>
      <c r="LC16" s="454"/>
      <c r="LD16" s="454"/>
      <c r="LE16" s="454"/>
      <c r="LF16" s="454"/>
      <c r="LG16" s="454"/>
      <c r="LH16" s="454"/>
      <c r="LI16" s="454"/>
      <c r="LJ16" s="454"/>
      <c r="LK16" s="454"/>
      <c r="LL16" s="454"/>
      <c r="LM16" s="454"/>
      <c r="LN16" s="454"/>
      <c r="LO16" s="454"/>
      <c r="LP16" s="454"/>
      <c r="LQ16" s="454"/>
      <c r="LR16" s="454"/>
      <c r="LS16" s="454"/>
      <c r="LT16" s="454"/>
      <c r="LU16" s="454"/>
      <c r="LV16" s="454"/>
      <c r="LW16" s="454"/>
      <c r="LX16" s="454"/>
      <c r="LY16" s="454"/>
      <c r="LZ16" s="454"/>
      <c r="MA16" s="454"/>
      <c r="MB16" s="454"/>
      <c r="MC16" s="454"/>
      <c r="MD16" s="454"/>
      <c r="ME16" s="454"/>
      <c r="MF16" s="454"/>
      <c r="MG16" s="454"/>
      <c r="MH16" s="454"/>
      <c r="MI16" s="454"/>
      <c r="MJ16" s="454"/>
      <c r="MK16" s="454"/>
      <c r="ML16" s="454"/>
      <c r="MM16" s="454"/>
      <c r="MN16" s="454"/>
      <c r="MO16" s="454"/>
      <c r="MP16" s="454"/>
      <c r="MQ16" s="454"/>
      <c r="MR16" s="454"/>
      <c r="MS16" s="454"/>
      <c r="MT16" s="454"/>
      <c r="MU16" s="454"/>
      <c r="MV16" s="454"/>
      <c r="MW16" s="454"/>
      <c r="MX16" s="454"/>
      <c r="MY16" s="454"/>
      <c r="MZ16" s="454"/>
      <c r="NA16" s="454"/>
      <c r="NB16" s="454"/>
      <c r="NC16" s="454"/>
      <c r="ND16" s="454"/>
      <c r="NE16" s="454"/>
      <c r="NF16" s="454"/>
      <c r="NG16" s="454"/>
      <c r="NH16" s="454"/>
      <c r="NI16" s="454"/>
      <c r="NJ16" s="454"/>
      <c r="NK16" s="454"/>
      <c r="NL16" s="13">
        <v>125</v>
      </c>
      <c r="NM16" s="13">
        <v>150</v>
      </c>
      <c r="NN16" s="13">
        <v>150</v>
      </c>
      <c r="NO16" s="13">
        <v>234</v>
      </c>
      <c r="NP16" s="13">
        <v>148</v>
      </c>
      <c r="NQ16" s="13">
        <v>140</v>
      </c>
      <c r="NR16" s="13"/>
      <c r="NS16" s="13"/>
      <c r="NT16" s="13"/>
      <c r="NU16" s="321">
        <v>245</v>
      </c>
      <c r="NV16" s="13">
        <v>190</v>
      </c>
      <c r="NW16" s="13">
        <v>106</v>
      </c>
      <c r="NX16" s="13">
        <v>162</v>
      </c>
      <c r="NY16" s="13">
        <v>161</v>
      </c>
      <c r="NZ16" s="13">
        <v>122</v>
      </c>
      <c r="OA16" s="13">
        <v>158</v>
      </c>
      <c r="OB16" s="13">
        <v>166</v>
      </c>
      <c r="OC16" s="13">
        <v>75</v>
      </c>
      <c r="OD16" s="13">
        <v>165</v>
      </c>
      <c r="OE16" s="13">
        <v>158</v>
      </c>
      <c r="OF16" s="13">
        <v>132</v>
      </c>
      <c r="OG16" s="13"/>
      <c r="OH16" s="13"/>
      <c r="OI16" s="13"/>
      <c r="OJ16" s="454"/>
      <c r="OK16" s="36">
        <f t="shared" si="3"/>
        <v>0</v>
      </c>
      <c r="OL16" s="10">
        <f t="shared" si="4"/>
        <v>0</v>
      </c>
      <c r="OM16" s="10">
        <f t="shared" si="5"/>
        <v>0</v>
      </c>
      <c r="ON16" s="10">
        <f t="shared" si="6"/>
        <v>154.83333333333334</v>
      </c>
      <c r="OO16" s="10">
        <f t="shared" si="7"/>
        <v>154.83333333333334</v>
      </c>
      <c r="OR16" s="256"/>
      <c r="OS16" s="263"/>
      <c r="OT16" s="263"/>
      <c r="OU16" s="263"/>
      <c r="OV16" s="256"/>
    </row>
    <row r="17" spans="1:412">
      <c r="A17" s="8" t="s">
        <v>22</v>
      </c>
      <c r="B17" s="8" t="str">
        <f>VLOOKUP(A17,'미니게임_DATA(순)'!$A$4:$B$60,2,0)</f>
        <v>Y</v>
      </c>
      <c r="C17" s="13">
        <v>138</v>
      </c>
      <c r="D17" s="13">
        <v>134</v>
      </c>
      <c r="E17" s="13">
        <v>147</v>
      </c>
      <c r="F17" s="13">
        <v>144</v>
      </c>
      <c r="G17" s="13">
        <v>166</v>
      </c>
      <c r="H17" s="13">
        <v>131</v>
      </c>
      <c r="I17" s="13">
        <v>146</v>
      </c>
      <c r="J17" s="13">
        <v>122</v>
      </c>
      <c r="K17" s="13">
        <v>189</v>
      </c>
      <c r="L17" s="18">
        <v>178</v>
      </c>
      <c r="M17" s="18">
        <v>116</v>
      </c>
      <c r="N17" s="18">
        <v>134</v>
      </c>
      <c r="O17" s="18">
        <v>187</v>
      </c>
      <c r="P17" s="18">
        <v>147</v>
      </c>
      <c r="Q17" s="18">
        <v>167</v>
      </c>
      <c r="R17" s="18">
        <v>125</v>
      </c>
      <c r="S17" s="18">
        <v>168</v>
      </c>
      <c r="T17" s="18">
        <v>178</v>
      </c>
      <c r="U17" s="18">
        <v>165</v>
      </c>
      <c r="V17" s="18">
        <v>169</v>
      </c>
      <c r="W17" s="18">
        <v>158</v>
      </c>
      <c r="X17" s="18">
        <v>162</v>
      </c>
      <c r="Y17" s="18">
        <v>191</v>
      </c>
      <c r="Z17" s="18">
        <v>135</v>
      </c>
      <c r="AA17" s="18"/>
      <c r="AB17" s="18"/>
      <c r="AC17" s="18"/>
      <c r="AD17" s="18">
        <v>160</v>
      </c>
      <c r="AE17" s="18">
        <v>164</v>
      </c>
      <c r="AF17" s="18">
        <v>139</v>
      </c>
      <c r="AG17" s="18"/>
      <c r="AH17" s="18"/>
      <c r="AI17" s="18"/>
      <c r="AJ17" s="18"/>
      <c r="AK17" s="18"/>
      <c r="AL17" s="18"/>
      <c r="AM17" s="18">
        <v>189</v>
      </c>
      <c r="AN17" s="18">
        <v>137</v>
      </c>
      <c r="AO17" s="18">
        <v>148</v>
      </c>
      <c r="AP17" s="18">
        <v>180</v>
      </c>
      <c r="AQ17" s="18">
        <v>164</v>
      </c>
      <c r="AR17" s="20">
        <v>202</v>
      </c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20">
        <v>214</v>
      </c>
      <c r="BF17" s="18">
        <v>124</v>
      </c>
      <c r="BG17" s="18">
        <v>140</v>
      </c>
      <c r="BH17" s="18"/>
      <c r="BI17" s="18"/>
      <c r="BJ17" s="18"/>
      <c r="BK17" s="18"/>
      <c r="BL17" s="18"/>
      <c r="BM17" s="18"/>
      <c r="BN17" s="18"/>
      <c r="BO17" s="18"/>
      <c r="BP17" s="18"/>
      <c r="BQ17" s="18">
        <v>130</v>
      </c>
      <c r="BR17" s="18">
        <v>197</v>
      </c>
      <c r="BS17" s="18">
        <v>157</v>
      </c>
      <c r="BT17" s="18">
        <v>129</v>
      </c>
      <c r="BU17" s="18">
        <v>169</v>
      </c>
      <c r="BV17" s="18">
        <v>145</v>
      </c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>
        <v>136</v>
      </c>
      <c r="CI17" s="18">
        <v>147</v>
      </c>
      <c r="CJ17" s="20">
        <v>200</v>
      </c>
      <c r="CK17" s="18">
        <v>148</v>
      </c>
      <c r="CL17" s="18">
        <v>132</v>
      </c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>
        <v>175</v>
      </c>
      <c r="DI17" s="18">
        <v>141</v>
      </c>
      <c r="DJ17" s="18">
        <v>116</v>
      </c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>
        <v>181</v>
      </c>
      <c r="DY17" s="18">
        <v>165</v>
      </c>
      <c r="DZ17" s="18">
        <v>171</v>
      </c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>
        <v>155</v>
      </c>
      <c r="EP17" s="18">
        <v>126</v>
      </c>
      <c r="EQ17" s="18">
        <v>159</v>
      </c>
      <c r="ER17" s="18">
        <v>187</v>
      </c>
      <c r="ES17" s="18">
        <v>196</v>
      </c>
      <c r="ET17" s="20">
        <v>217</v>
      </c>
      <c r="EU17" s="18">
        <v>164</v>
      </c>
      <c r="EV17" s="18"/>
      <c r="EW17" s="18"/>
      <c r="EX17" s="18"/>
      <c r="EY17" s="18"/>
      <c r="EZ17" s="18"/>
      <c r="FA17" s="18"/>
      <c r="FB17" s="18">
        <v>137</v>
      </c>
      <c r="FC17" s="18">
        <v>129</v>
      </c>
      <c r="FD17" s="18">
        <v>136</v>
      </c>
      <c r="FE17" s="18">
        <v>111</v>
      </c>
      <c r="FF17" s="18">
        <v>180</v>
      </c>
      <c r="FG17" s="30">
        <v>256</v>
      </c>
      <c r="FH17" s="18"/>
      <c r="FI17" s="18"/>
      <c r="FJ17" s="18"/>
      <c r="FK17" s="18"/>
      <c r="FL17" s="18"/>
      <c r="FM17" s="18"/>
      <c r="FN17" s="18">
        <v>117</v>
      </c>
      <c r="FO17" s="18">
        <v>142</v>
      </c>
      <c r="FP17" s="18">
        <v>129</v>
      </c>
      <c r="FQ17" s="18">
        <v>154</v>
      </c>
      <c r="FR17" s="18">
        <v>135</v>
      </c>
      <c r="FS17" s="18"/>
      <c r="FT17" s="18"/>
      <c r="FU17" s="18"/>
      <c r="FV17" s="18">
        <v>140</v>
      </c>
      <c r="FW17" s="18">
        <v>159</v>
      </c>
      <c r="FX17" s="18">
        <v>117</v>
      </c>
      <c r="FY17" s="18">
        <v>128</v>
      </c>
      <c r="FZ17" s="18">
        <v>136</v>
      </c>
      <c r="GA17" s="18">
        <v>156</v>
      </c>
      <c r="GB17" s="18">
        <v>191</v>
      </c>
      <c r="GC17" s="18">
        <v>181</v>
      </c>
      <c r="GD17" s="18">
        <v>167</v>
      </c>
      <c r="GE17" s="18">
        <v>152</v>
      </c>
      <c r="GF17" s="18"/>
      <c r="GG17" s="18"/>
      <c r="GH17" s="18"/>
      <c r="GI17" s="18"/>
      <c r="GJ17" s="18"/>
      <c r="GK17" s="18"/>
      <c r="GL17" s="18">
        <v>151</v>
      </c>
      <c r="GM17" s="18">
        <v>224</v>
      </c>
      <c r="GN17" s="18">
        <v>146</v>
      </c>
      <c r="GO17" s="18"/>
      <c r="GP17" s="18"/>
      <c r="GQ17" s="18"/>
      <c r="GR17" s="18">
        <v>170</v>
      </c>
      <c r="GS17" s="18">
        <v>110</v>
      </c>
      <c r="GT17" s="18">
        <v>173</v>
      </c>
      <c r="GU17" s="18">
        <v>148</v>
      </c>
      <c r="GV17" s="18">
        <v>144</v>
      </c>
      <c r="GW17" s="18">
        <v>171</v>
      </c>
      <c r="GX17" s="18"/>
      <c r="GY17" s="18"/>
      <c r="GZ17" s="18"/>
      <c r="HA17" s="18">
        <v>162</v>
      </c>
      <c r="HB17" s="18">
        <v>216</v>
      </c>
      <c r="HC17" s="18">
        <v>127</v>
      </c>
      <c r="HD17" s="18">
        <v>130</v>
      </c>
      <c r="HE17" s="18">
        <v>149</v>
      </c>
      <c r="HF17" s="18">
        <v>170</v>
      </c>
      <c r="HG17" s="18"/>
      <c r="HH17" s="18"/>
      <c r="HI17" s="18"/>
      <c r="HJ17" s="18"/>
      <c r="HK17" s="18">
        <v>170</v>
      </c>
      <c r="HL17" s="18">
        <v>166</v>
      </c>
      <c r="HM17" s="18"/>
      <c r="HN17" s="18"/>
      <c r="HO17" s="18"/>
      <c r="HP17" s="18"/>
      <c r="HQ17" s="18"/>
      <c r="HR17" s="18"/>
      <c r="HS17" s="18"/>
      <c r="HT17" s="18"/>
      <c r="HU17" s="18"/>
      <c r="HV17" s="18">
        <v>161</v>
      </c>
      <c r="HW17" s="18">
        <v>183</v>
      </c>
      <c r="HX17" s="18">
        <v>170</v>
      </c>
      <c r="HY17" s="28">
        <v>134</v>
      </c>
      <c r="HZ17" s="28">
        <v>147</v>
      </c>
      <c r="IA17" s="28">
        <v>179</v>
      </c>
      <c r="IB17" s="18"/>
      <c r="IC17" s="18"/>
      <c r="ID17" s="18"/>
      <c r="IE17" s="18"/>
      <c r="IF17" s="18"/>
      <c r="IG17" s="18"/>
      <c r="IH17" s="18"/>
      <c r="II17" s="18">
        <v>148</v>
      </c>
      <c r="IJ17" s="18"/>
      <c r="IK17" s="18">
        <v>169</v>
      </c>
      <c r="IL17" s="18">
        <v>170</v>
      </c>
      <c r="IM17" s="18">
        <v>168</v>
      </c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8"/>
      <c r="JI17" s="8"/>
      <c r="JJ17" s="8"/>
      <c r="JK17" s="8"/>
      <c r="JL17" s="8"/>
      <c r="JM17" s="8"/>
      <c r="JN17" s="8">
        <v>147</v>
      </c>
      <c r="JO17" s="8">
        <v>117</v>
      </c>
      <c r="JP17" s="8">
        <v>139</v>
      </c>
      <c r="JQ17" s="8">
        <v>110</v>
      </c>
      <c r="JR17" s="8">
        <v>148</v>
      </c>
      <c r="JS17" s="8">
        <v>157</v>
      </c>
      <c r="JT17" s="8"/>
      <c r="JU17" s="8"/>
      <c r="JV17" s="8"/>
      <c r="JW17" s="8">
        <v>109</v>
      </c>
      <c r="JX17" s="8">
        <v>111</v>
      </c>
      <c r="JY17" s="8">
        <v>126</v>
      </c>
      <c r="JZ17" s="8"/>
      <c r="KA17" s="8"/>
      <c r="KB17" s="8"/>
      <c r="KC17" s="8">
        <v>90</v>
      </c>
      <c r="KD17" s="8">
        <v>137</v>
      </c>
      <c r="KE17" s="8">
        <v>190</v>
      </c>
      <c r="KF17" s="8"/>
      <c r="KG17" s="8"/>
      <c r="KH17" s="8"/>
      <c r="KI17" s="8">
        <v>163</v>
      </c>
      <c r="KJ17" s="8">
        <v>216</v>
      </c>
      <c r="KK17" s="8">
        <v>170</v>
      </c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>
        <v>136</v>
      </c>
      <c r="KY17" s="8">
        <v>165</v>
      </c>
      <c r="KZ17" s="8">
        <v>155</v>
      </c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>
        <v>181</v>
      </c>
      <c r="LT17" s="8">
        <v>158</v>
      </c>
      <c r="LU17" s="8">
        <v>104</v>
      </c>
      <c r="LV17" s="8"/>
      <c r="LW17" s="8"/>
      <c r="LX17" s="8"/>
      <c r="LY17" s="8">
        <v>87</v>
      </c>
      <c r="LZ17" s="8">
        <v>119</v>
      </c>
      <c r="MA17" s="8">
        <v>135</v>
      </c>
      <c r="MB17" s="8"/>
      <c r="MC17" s="8"/>
      <c r="MD17" s="8"/>
      <c r="ME17" s="8"/>
      <c r="MF17" s="8"/>
      <c r="MG17" s="8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>
        <v>127</v>
      </c>
      <c r="NM17" s="13">
        <v>186</v>
      </c>
      <c r="NN17" s="13">
        <v>113</v>
      </c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>
        <v>153</v>
      </c>
      <c r="OE17" s="13">
        <v>145</v>
      </c>
      <c r="OF17" s="13">
        <v>134</v>
      </c>
      <c r="OG17" s="13"/>
      <c r="OH17" s="13"/>
      <c r="OI17" s="13"/>
      <c r="OJ17" s="8"/>
      <c r="OK17" s="36">
        <f t="shared" si="3"/>
        <v>0</v>
      </c>
      <c r="OL17" s="10">
        <f t="shared" si="4"/>
        <v>0</v>
      </c>
      <c r="OM17" s="10">
        <f t="shared" si="5"/>
        <v>140.41666666666666</v>
      </c>
      <c r="ON17" s="10">
        <f t="shared" si="6"/>
        <v>143</v>
      </c>
      <c r="OO17" s="10">
        <f t="shared" si="7"/>
        <v>153.89855072463769</v>
      </c>
      <c r="OR17" s="256"/>
      <c r="OS17" s="256"/>
      <c r="OT17" s="256"/>
      <c r="OU17" s="256"/>
      <c r="OV17" s="256"/>
    </row>
    <row r="18" spans="1:412">
      <c r="A18" s="8" t="s">
        <v>42</v>
      </c>
      <c r="B18" s="8" t="str">
        <f>VLOOKUP(A18,'미니게임_DATA(순)'!$A$4:$B$60,2,0)</f>
        <v>Y</v>
      </c>
      <c r="C18" s="13"/>
      <c r="D18" s="13"/>
      <c r="E18" s="13"/>
      <c r="F18" s="13"/>
      <c r="G18" s="13"/>
      <c r="H18" s="13"/>
      <c r="I18" s="13"/>
      <c r="J18" s="13"/>
      <c r="K18" s="13"/>
      <c r="L18" s="18"/>
      <c r="M18" s="18"/>
      <c r="N18" s="20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>
        <v>87</v>
      </c>
      <c r="HI18" s="18">
        <v>59</v>
      </c>
      <c r="HJ18" s="18">
        <v>81</v>
      </c>
      <c r="HK18" s="18">
        <v>92</v>
      </c>
      <c r="HL18" s="18">
        <v>107</v>
      </c>
      <c r="HM18" s="18">
        <v>77</v>
      </c>
      <c r="HN18" s="18">
        <v>76</v>
      </c>
      <c r="HO18" s="18">
        <v>98</v>
      </c>
      <c r="HP18" s="18">
        <v>98</v>
      </c>
      <c r="HQ18" s="18">
        <v>75</v>
      </c>
      <c r="HR18" s="18">
        <v>55</v>
      </c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>
        <v>59</v>
      </c>
      <c r="IF18" s="18">
        <v>108</v>
      </c>
      <c r="IG18" s="18">
        <v>110</v>
      </c>
      <c r="IH18" s="18">
        <v>76</v>
      </c>
      <c r="II18" s="18">
        <v>108</v>
      </c>
      <c r="IJ18" s="18">
        <v>85</v>
      </c>
      <c r="IK18" s="18"/>
      <c r="IL18" s="18"/>
      <c r="IM18" s="18"/>
      <c r="IN18" s="18">
        <v>101</v>
      </c>
      <c r="IO18" s="18">
        <v>82</v>
      </c>
      <c r="IP18" s="18">
        <v>84</v>
      </c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>
        <v>66</v>
      </c>
      <c r="JC18" s="18">
        <v>86</v>
      </c>
      <c r="JD18" s="18">
        <v>110</v>
      </c>
      <c r="JE18" s="18"/>
      <c r="JF18" s="18"/>
      <c r="JG18" s="18"/>
      <c r="JH18" s="8"/>
      <c r="JI18" s="8"/>
      <c r="JJ18" s="8"/>
      <c r="JK18" s="8">
        <v>78</v>
      </c>
      <c r="JL18" s="8">
        <v>94</v>
      </c>
      <c r="JM18" s="8">
        <v>98</v>
      </c>
      <c r="JN18" s="8"/>
      <c r="JO18" s="8"/>
      <c r="JP18" s="8"/>
      <c r="JQ18" s="8"/>
      <c r="JR18" s="8"/>
      <c r="JS18" s="8"/>
      <c r="JT18" s="8">
        <v>94</v>
      </c>
      <c r="JU18" s="8">
        <v>78</v>
      </c>
      <c r="JV18" s="8">
        <v>68</v>
      </c>
      <c r="JW18" s="8"/>
      <c r="JX18" s="8"/>
      <c r="JY18" s="8"/>
      <c r="JZ18" s="8">
        <v>115</v>
      </c>
      <c r="KA18" s="8">
        <v>108</v>
      </c>
      <c r="KB18" s="8">
        <v>89</v>
      </c>
      <c r="KC18" s="8">
        <v>102</v>
      </c>
      <c r="KD18" s="8">
        <v>84</v>
      </c>
      <c r="KE18" s="8">
        <v>71</v>
      </c>
      <c r="KF18" s="8">
        <v>98</v>
      </c>
      <c r="KG18" s="8">
        <v>94</v>
      </c>
      <c r="KH18" s="8">
        <v>109</v>
      </c>
      <c r="KI18" s="8"/>
      <c r="KJ18" s="8"/>
      <c r="KK18" s="8"/>
      <c r="KL18" s="8"/>
      <c r="KM18" s="8"/>
      <c r="KN18" s="8"/>
      <c r="KO18" s="8"/>
      <c r="KP18" s="8"/>
      <c r="KQ18" s="8"/>
      <c r="KR18" s="8">
        <v>112</v>
      </c>
      <c r="KS18" s="8">
        <v>102</v>
      </c>
      <c r="KT18" s="8">
        <v>105</v>
      </c>
      <c r="KU18" s="8"/>
      <c r="KV18" s="8"/>
      <c r="KW18" s="8"/>
      <c r="KX18" s="8">
        <v>81</v>
      </c>
      <c r="KY18" s="8">
        <v>82</v>
      </c>
      <c r="KZ18" s="8">
        <v>99</v>
      </c>
      <c r="LA18" s="8">
        <v>107</v>
      </c>
      <c r="LB18" s="8">
        <v>130</v>
      </c>
      <c r="LC18" s="8">
        <v>92</v>
      </c>
      <c r="LD18" s="8"/>
      <c r="LE18" s="8"/>
      <c r="LF18" s="8"/>
      <c r="LG18" s="8"/>
      <c r="LH18" s="8"/>
      <c r="LI18" s="8"/>
      <c r="LJ18" s="8">
        <v>116</v>
      </c>
      <c r="LK18" s="8">
        <v>130</v>
      </c>
      <c r="LL18" s="8">
        <v>121</v>
      </c>
      <c r="LM18" s="8"/>
      <c r="LN18" s="8"/>
      <c r="LO18" s="8"/>
      <c r="LP18" s="8">
        <v>96</v>
      </c>
      <c r="LQ18" s="8">
        <v>82</v>
      </c>
      <c r="LR18" s="8">
        <v>127</v>
      </c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>
        <v>134</v>
      </c>
      <c r="NP18" s="13">
        <v>120</v>
      </c>
      <c r="NQ18" s="13">
        <v>111</v>
      </c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>
        <v>99</v>
      </c>
      <c r="OE18" s="13">
        <v>86</v>
      </c>
      <c r="OF18" s="13">
        <v>123</v>
      </c>
      <c r="OG18" s="13"/>
      <c r="OH18" s="13"/>
      <c r="OI18" s="13"/>
      <c r="OJ18" s="8"/>
      <c r="OK18" s="36">
        <f t="shared" si="3"/>
        <v>0</v>
      </c>
      <c r="OL18" s="10">
        <f t="shared" si="4"/>
        <v>0</v>
      </c>
      <c r="OM18" s="10">
        <f t="shared" si="5"/>
        <v>97.696969696969703</v>
      </c>
      <c r="ON18" s="10">
        <f t="shared" si="6"/>
        <v>112.16666666666667</v>
      </c>
      <c r="OO18" s="10">
        <f t="shared" si="7"/>
        <v>95.169491525423723</v>
      </c>
      <c r="OR18" s="256"/>
      <c r="OS18" s="256"/>
      <c r="OT18" s="256"/>
      <c r="OU18" s="256"/>
      <c r="OV18" s="256"/>
    </row>
    <row r="19" spans="1:412">
      <c r="A19" s="8" t="s">
        <v>282</v>
      </c>
      <c r="B19" s="8" t="str">
        <f>VLOOKUP(A19,'미니게임_DATA(순)'!$A$4:$B$60,2,0)</f>
        <v>Y</v>
      </c>
      <c r="C19" s="8"/>
      <c r="D19" s="8"/>
      <c r="E19" s="8"/>
      <c r="F19" s="8"/>
      <c r="G19" s="8"/>
      <c r="H19" s="8"/>
      <c r="I19" s="36"/>
      <c r="J19" s="10"/>
      <c r="K19" s="10"/>
      <c r="L19" s="10"/>
      <c r="M19" s="427"/>
      <c r="N19" s="427"/>
      <c r="O19" s="427"/>
      <c r="P19" s="427"/>
      <c r="Q19" s="427"/>
      <c r="R19" s="427"/>
      <c r="S19" s="427"/>
      <c r="T19" s="427"/>
      <c r="U19" s="427"/>
      <c r="V19" s="427"/>
      <c r="W19" s="427"/>
      <c r="X19" s="427"/>
      <c r="Y19" s="427"/>
      <c r="Z19" s="427"/>
      <c r="AA19" s="427"/>
      <c r="AB19" s="427"/>
      <c r="AC19" s="427"/>
      <c r="AD19" s="427"/>
      <c r="AE19" s="427"/>
      <c r="AF19" s="427"/>
      <c r="AG19" s="427"/>
      <c r="AH19" s="427"/>
      <c r="AI19" s="427"/>
      <c r="AJ19" s="427"/>
      <c r="AK19" s="427"/>
      <c r="AL19" s="427"/>
      <c r="AM19" s="427"/>
      <c r="AN19" s="427"/>
      <c r="AO19" s="427"/>
      <c r="AP19" s="427"/>
      <c r="AQ19" s="427"/>
      <c r="AR19" s="427"/>
      <c r="AS19" s="427"/>
      <c r="AT19" s="427"/>
      <c r="AU19" s="427"/>
      <c r="AV19" s="427"/>
      <c r="AW19" s="427"/>
      <c r="AX19" s="427"/>
      <c r="AY19" s="427"/>
      <c r="AZ19" s="427"/>
      <c r="BA19" s="427"/>
      <c r="BB19" s="427"/>
      <c r="BC19" s="427"/>
      <c r="BD19" s="427"/>
      <c r="BE19" s="427"/>
      <c r="BF19" s="427"/>
      <c r="BG19" s="427"/>
      <c r="BH19" s="427"/>
      <c r="BI19" s="427"/>
      <c r="BJ19" s="427"/>
      <c r="BK19" s="427"/>
      <c r="BL19" s="427"/>
      <c r="BM19" s="427"/>
      <c r="BN19" s="427"/>
      <c r="BO19" s="427"/>
      <c r="BP19" s="427"/>
      <c r="BQ19" s="427"/>
      <c r="BR19" s="427"/>
      <c r="BS19" s="427"/>
      <c r="BT19" s="427"/>
      <c r="BU19" s="427"/>
      <c r="BV19" s="427"/>
      <c r="BW19" s="427"/>
      <c r="BX19" s="427"/>
      <c r="BY19" s="427"/>
      <c r="BZ19" s="427"/>
      <c r="CA19" s="427"/>
      <c r="CB19" s="427"/>
      <c r="CC19" s="427"/>
      <c r="CD19" s="427"/>
      <c r="CE19" s="427"/>
      <c r="CF19" s="427"/>
      <c r="CG19" s="427"/>
      <c r="CH19" s="427"/>
      <c r="CI19" s="427"/>
      <c r="CJ19" s="427"/>
      <c r="CK19" s="427"/>
      <c r="CL19" s="427"/>
      <c r="CM19" s="427"/>
      <c r="CN19" s="427"/>
      <c r="CO19" s="427"/>
      <c r="CP19" s="427"/>
      <c r="CQ19" s="427"/>
      <c r="CR19" s="427"/>
      <c r="CS19" s="427"/>
      <c r="CT19" s="427"/>
      <c r="CU19" s="427"/>
      <c r="CV19" s="427"/>
      <c r="CW19" s="427"/>
      <c r="CX19" s="427"/>
      <c r="CY19" s="427"/>
      <c r="CZ19" s="427"/>
      <c r="DA19" s="427"/>
      <c r="DB19" s="427"/>
      <c r="DC19" s="427"/>
      <c r="DD19" s="427"/>
      <c r="DE19" s="427"/>
      <c r="DF19" s="427"/>
      <c r="DG19" s="427"/>
      <c r="DH19" s="427"/>
      <c r="DI19" s="427"/>
      <c r="DJ19" s="427"/>
      <c r="DK19" s="427"/>
      <c r="DL19" s="427"/>
      <c r="DM19" s="427"/>
      <c r="DN19" s="427"/>
      <c r="DO19" s="427"/>
      <c r="DP19" s="427"/>
      <c r="DQ19" s="427"/>
      <c r="DR19" s="427"/>
      <c r="DS19" s="427"/>
      <c r="DT19" s="427"/>
      <c r="DU19" s="427"/>
      <c r="DV19" s="427"/>
      <c r="DW19" s="427"/>
      <c r="DX19" s="427"/>
      <c r="DY19" s="427"/>
      <c r="DZ19" s="427"/>
      <c r="EA19" s="427"/>
      <c r="EB19" s="427"/>
      <c r="EC19" s="427"/>
      <c r="ED19" s="427"/>
      <c r="EE19" s="427"/>
      <c r="EF19" s="427"/>
      <c r="EG19" s="427"/>
      <c r="EH19" s="427"/>
      <c r="EI19" s="427"/>
      <c r="EJ19" s="427"/>
      <c r="EK19" s="427"/>
      <c r="EL19" s="427"/>
      <c r="EM19" s="427"/>
      <c r="EN19" s="427"/>
      <c r="EO19" s="427"/>
      <c r="EP19" s="427"/>
      <c r="EQ19" s="427"/>
      <c r="ER19" s="427"/>
      <c r="ES19" s="427"/>
      <c r="ET19" s="427"/>
      <c r="EU19" s="427"/>
      <c r="EV19" s="427"/>
      <c r="EW19" s="427"/>
      <c r="EX19" s="427"/>
      <c r="EY19" s="427"/>
      <c r="EZ19" s="427"/>
      <c r="FA19" s="427"/>
      <c r="FB19" s="427"/>
      <c r="FC19" s="427"/>
      <c r="FD19" s="427"/>
      <c r="FE19" s="427"/>
      <c r="FF19" s="427"/>
      <c r="FG19" s="427"/>
      <c r="FH19" s="427"/>
      <c r="FI19" s="427"/>
      <c r="FJ19" s="427"/>
      <c r="FK19" s="427"/>
      <c r="FL19" s="427"/>
      <c r="FM19" s="427"/>
      <c r="FN19" s="427"/>
      <c r="FO19" s="427"/>
      <c r="FP19" s="427"/>
      <c r="FQ19" s="427"/>
      <c r="FR19" s="427"/>
      <c r="FS19" s="427"/>
      <c r="FT19" s="427"/>
      <c r="FU19" s="427"/>
      <c r="FV19" s="427"/>
      <c r="FW19" s="427"/>
      <c r="FX19" s="427"/>
      <c r="FY19" s="427"/>
      <c r="FZ19" s="427"/>
      <c r="GA19" s="427"/>
      <c r="GB19" s="427"/>
      <c r="GC19" s="427"/>
      <c r="GD19" s="427"/>
      <c r="GE19" s="427"/>
      <c r="GF19" s="427"/>
      <c r="GG19" s="427"/>
      <c r="GH19" s="427"/>
      <c r="GI19" s="427"/>
      <c r="GJ19" s="427"/>
      <c r="GK19" s="427"/>
      <c r="GL19" s="427"/>
      <c r="GM19" s="427"/>
      <c r="GN19" s="427"/>
      <c r="GO19" s="427"/>
      <c r="GP19" s="427"/>
      <c r="GQ19" s="427"/>
      <c r="GR19" s="427"/>
      <c r="GS19" s="427"/>
      <c r="GT19" s="427"/>
      <c r="GU19" s="427"/>
      <c r="GV19" s="427"/>
      <c r="GW19" s="427"/>
      <c r="GX19" s="427"/>
      <c r="GY19" s="427"/>
      <c r="GZ19" s="427"/>
      <c r="HA19" s="427"/>
      <c r="HB19" s="427"/>
      <c r="HC19" s="427"/>
      <c r="HD19" s="427"/>
      <c r="HE19" s="427"/>
      <c r="HF19" s="427"/>
      <c r="HG19" s="427"/>
      <c r="HH19" s="427"/>
      <c r="HI19" s="427"/>
      <c r="HJ19" s="427"/>
      <c r="HK19" s="427"/>
      <c r="HL19" s="427"/>
      <c r="HM19" s="427"/>
      <c r="HN19" s="427"/>
      <c r="HO19" s="427"/>
      <c r="HP19" s="427"/>
      <c r="HQ19" s="427"/>
      <c r="HR19" s="427"/>
      <c r="HS19" s="427"/>
      <c r="HT19" s="427"/>
      <c r="HU19" s="427"/>
      <c r="HV19" s="427"/>
      <c r="HW19" s="427"/>
      <c r="HX19" s="427"/>
      <c r="HY19" s="427"/>
      <c r="HZ19" s="427"/>
      <c r="IA19" s="427"/>
      <c r="IB19" s="427"/>
      <c r="IC19" s="427"/>
      <c r="ID19" s="427"/>
      <c r="IE19" s="427"/>
      <c r="IF19" s="427"/>
      <c r="IG19" s="427"/>
      <c r="IH19" s="427"/>
      <c r="II19" s="427"/>
      <c r="IJ19" s="427"/>
      <c r="IK19" s="427"/>
      <c r="IL19" s="427"/>
      <c r="IM19" s="427"/>
      <c r="IN19" s="427"/>
      <c r="IO19" s="427"/>
      <c r="IP19" s="427"/>
      <c r="IQ19" s="427"/>
      <c r="IR19" s="427"/>
      <c r="IS19" s="427"/>
      <c r="IT19" s="427"/>
      <c r="IU19" s="427"/>
      <c r="IV19" s="427"/>
      <c r="IW19" s="427"/>
      <c r="IX19" s="427"/>
      <c r="IY19" s="427"/>
      <c r="IZ19" s="427"/>
      <c r="JA19" s="427"/>
      <c r="JB19" s="427"/>
      <c r="JC19" s="427"/>
      <c r="JD19" s="427"/>
      <c r="JE19" s="427"/>
      <c r="JF19" s="427"/>
      <c r="JG19" s="427"/>
      <c r="JH19" s="427"/>
      <c r="JI19" s="427"/>
      <c r="JJ19" s="427"/>
      <c r="JK19" s="427"/>
      <c r="JL19" s="427"/>
      <c r="JM19" s="427"/>
      <c r="JN19" s="427"/>
      <c r="JO19" s="427"/>
      <c r="JP19" s="427"/>
      <c r="JQ19" s="427"/>
      <c r="JR19" s="427"/>
      <c r="JS19" s="427"/>
      <c r="JT19" s="427"/>
      <c r="JU19" s="427"/>
      <c r="JV19" s="427"/>
      <c r="JW19" s="427"/>
      <c r="JX19" s="427"/>
      <c r="JY19" s="427"/>
      <c r="JZ19" s="427"/>
      <c r="KA19" s="427"/>
      <c r="KB19" s="427"/>
      <c r="KC19" s="427"/>
      <c r="KD19" s="427"/>
      <c r="KE19" s="427"/>
      <c r="KF19" s="427"/>
      <c r="KG19" s="427"/>
      <c r="KH19" s="427"/>
      <c r="KI19" s="427"/>
      <c r="KJ19" s="427"/>
      <c r="KK19" s="427"/>
      <c r="KL19" s="427"/>
      <c r="KM19" s="427"/>
      <c r="KN19" s="427"/>
      <c r="KO19" s="427"/>
      <c r="KP19" s="427"/>
      <c r="KQ19" s="427"/>
      <c r="KR19" s="427"/>
      <c r="KS19" s="427"/>
      <c r="KT19" s="427"/>
      <c r="KU19" s="427"/>
      <c r="KV19" s="427"/>
      <c r="KW19" s="427"/>
      <c r="KX19" s="427"/>
      <c r="KY19" s="427"/>
      <c r="KZ19" s="427"/>
      <c r="LA19" s="427"/>
      <c r="LB19" s="427"/>
      <c r="LC19" s="427"/>
      <c r="LD19" s="427"/>
      <c r="LE19" s="427"/>
      <c r="LF19" s="427"/>
      <c r="LG19" s="427"/>
      <c r="LH19" s="427"/>
      <c r="LI19" s="427"/>
      <c r="LJ19" s="427"/>
      <c r="LK19" s="427"/>
      <c r="LL19" s="427"/>
      <c r="LM19" s="427"/>
      <c r="LN19" s="427"/>
      <c r="LO19" s="427"/>
      <c r="LP19" s="427"/>
      <c r="LQ19" s="427"/>
      <c r="LR19" s="427"/>
      <c r="LS19" s="427"/>
      <c r="LT19" s="427"/>
      <c r="LU19" s="427"/>
      <c r="LV19" s="427">
        <v>104</v>
      </c>
      <c r="LW19" s="427">
        <v>149</v>
      </c>
      <c r="LX19" s="427">
        <v>149</v>
      </c>
      <c r="LY19" s="427">
        <v>134</v>
      </c>
      <c r="LZ19" s="427">
        <v>155</v>
      </c>
      <c r="MA19" s="427">
        <v>159</v>
      </c>
      <c r="MB19" s="427">
        <v>104</v>
      </c>
      <c r="MC19" s="427">
        <v>132</v>
      </c>
      <c r="MD19" s="427">
        <v>145</v>
      </c>
      <c r="ME19" s="99">
        <v>108</v>
      </c>
      <c r="MF19" s="99">
        <v>103</v>
      </c>
      <c r="MG19" s="99">
        <v>132</v>
      </c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>
        <v>159</v>
      </c>
      <c r="MW19" s="13">
        <v>158</v>
      </c>
      <c r="MX19" s="13">
        <v>113</v>
      </c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>
        <v>153</v>
      </c>
      <c r="NY19" s="13">
        <v>102</v>
      </c>
      <c r="NZ19" s="13">
        <v>144</v>
      </c>
      <c r="OA19" s="13">
        <v>153</v>
      </c>
      <c r="OB19" s="13">
        <v>154</v>
      </c>
      <c r="OC19" s="13">
        <v>113</v>
      </c>
      <c r="OD19" s="13"/>
      <c r="OE19" s="13"/>
      <c r="OF19" s="13"/>
      <c r="OG19" s="13"/>
      <c r="OH19" s="13"/>
      <c r="OI19" s="13"/>
      <c r="OJ19" s="8"/>
      <c r="OK19" s="36">
        <f t="shared" si="3"/>
        <v>0</v>
      </c>
      <c r="OL19" s="10">
        <f t="shared" si="4"/>
        <v>0</v>
      </c>
      <c r="OM19" s="10">
        <f t="shared" si="5"/>
        <v>131.16666666666666</v>
      </c>
      <c r="ON19" s="10">
        <f t="shared" si="6"/>
        <v>138.77777777777777</v>
      </c>
      <c r="OO19" s="10">
        <f t="shared" si="7"/>
        <v>134.42857142857142</v>
      </c>
      <c r="OR19" s="256"/>
      <c r="OS19" s="256"/>
      <c r="OT19" s="256"/>
      <c r="OU19" s="256"/>
      <c r="OV19" s="256"/>
    </row>
    <row r="20" spans="1:412">
      <c r="A20" s="8" t="s">
        <v>17</v>
      </c>
      <c r="B20" s="8" t="str">
        <f>VLOOKUP(A20,'미니게임_DATA(순)'!$A$4:$B$60,2,0)</f>
        <v>Y</v>
      </c>
      <c r="C20" s="13"/>
      <c r="D20" s="13"/>
      <c r="E20" s="13"/>
      <c r="F20" s="13"/>
      <c r="G20" s="13"/>
      <c r="H20" s="13"/>
      <c r="I20" s="13"/>
      <c r="J20" s="13"/>
      <c r="K20" s="13"/>
      <c r="L20" s="18"/>
      <c r="M20" s="18"/>
      <c r="N20" s="18"/>
      <c r="O20" s="18"/>
      <c r="P20" s="18"/>
      <c r="Q20" s="20"/>
      <c r="R20" s="18"/>
      <c r="S20" s="18"/>
      <c r="T20" s="18"/>
      <c r="U20" s="18"/>
      <c r="V20" s="18"/>
      <c r="W20" s="20"/>
      <c r="X20" s="18"/>
      <c r="Y20" s="18"/>
      <c r="Z20" s="18"/>
      <c r="AA20" s="18">
        <v>90</v>
      </c>
      <c r="AB20" s="18">
        <v>92</v>
      </c>
      <c r="AC20" s="18">
        <v>100</v>
      </c>
      <c r="AD20" s="18">
        <v>97</v>
      </c>
      <c r="AE20" s="18">
        <v>91</v>
      </c>
      <c r="AF20" s="18">
        <v>166</v>
      </c>
      <c r="AG20" s="18"/>
      <c r="AH20" s="18"/>
      <c r="AI20" s="18"/>
      <c r="AJ20" s="18">
        <v>107</v>
      </c>
      <c r="AK20" s="18">
        <v>137</v>
      </c>
      <c r="AL20" s="18">
        <v>140</v>
      </c>
      <c r="AM20" s="18">
        <v>125</v>
      </c>
      <c r="AN20" s="18">
        <v>142</v>
      </c>
      <c r="AO20" s="18">
        <v>138</v>
      </c>
      <c r="AP20" s="18"/>
      <c r="AQ20" s="18"/>
      <c r="AR20" s="18"/>
      <c r="AS20" s="18"/>
      <c r="AT20" s="18"/>
      <c r="AU20" s="18"/>
      <c r="AV20" s="18">
        <v>144</v>
      </c>
      <c r="AW20" s="18">
        <v>99</v>
      </c>
      <c r="AX20" s="18">
        <v>94</v>
      </c>
      <c r="AY20" s="18"/>
      <c r="AZ20" s="18"/>
      <c r="BA20" s="18"/>
      <c r="BB20" s="18"/>
      <c r="BC20" s="18"/>
      <c r="BD20" s="18"/>
      <c r="BE20" s="18">
        <v>120</v>
      </c>
      <c r="BF20" s="18">
        <v>173</v>
      </c>
      <c r="BG20" s="18">
        <v>117</v>
      </c>
      <c r="BH20" s="18"/>
      <c r="BI20" s="18"/>
      <c r="BJ20" s="18"/>
      <c r="BK20" s="18"/>
      <c r="BL20" s="18"/>
      <c r="BM20" s="18"/>
      <c r="BN20" s="18"/>
      <c r="BO20" s="18"/>
      <c r="BP20" s="18"/>
      <c r="BQ20" s="18">
        <v>132</v>
      </c>
      <c r="BR20" s="18">
        <v>184</v>
      </c>
      <c r="BS20" s="18">
        <v>152</v>
      </c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>
        <v>101</v>
      </c>
      <c r="CL20" s="18">
        <v>105</v>
      </c>
      <c r="CM20" s="18">
        <v>135</v>
      </c>
      <c r="CN20" s="18">
        <v>116</v>
      </c>
      <c r="CO20" s="18">
        <v>129</v>
      </c>
      <c r="CP20" s="18">
        <v>117</v>
      </c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>
        <v>189</v>
      </c>
      <c r="DF20" s="18">
        <v>134</v>
      </c>
      <c r="DG20" s="18">
        <v>136</v>
      </c>
      <c r="DH20" s="18">
        <v>114</v>
      </c>
      <c r="DI20" s="18">
        <v>189</v>
      </c>
      <c r="DJ20" s="18">
        <v>123</v>
      </c>
      <c r="DK20" s="18"/>
      <c r="DL20" s="18"/>
      <c r="DM20" s="18"/>
      <c r="DN20" s="18"/>
      <c r="DO20" s="18">
        <v>165</v>
      </c>
      <c r="DP20" s="18">
        <v>148</v>
      </c>
      <c r="DQ20" s="18">
        <v>105</v>
      </c>
      <c r="DR20" s="18"/>
      <c r="DS20" s="18"/>
      <c r="DT20" s="18"/>
      <c r="DU20" s="18">
        <v>136</v>
      </c>
      <c r="DV20" s="18">
        <v>128</v>
      </c>
      <c r="DW20" s="18">
        <v>143</v>
      </c>
      <c r="DX20" s="18">
        <v>160</v>
      </c>
      <c r="DY20" s="18">
        <v>117</v>
      </c>
      <c r="DZ20" s="18">
        <v>155</v>
      </c>
      <c r="EA20" s="18">
        <v>179</v>
      </c>
      <c r="EB20" s="18">
        <v>172</v>
      </c>
      <c r="EC20" s="18">
        <v>135</v>
      </c>
      <c r="ED20" s="18">
        <v>94</v>
      </c>
      <c r="EE20" s="18">
        <v>154</v>
      </c>
      <c r="EF20" s="18">
        <v>94</v>
      </c>
      <c r="EG20" s="18"/>
      <c r="EH20" s="18"/>
      <c r="EI20" s="18"/>
      <c r="EJ20" s="18">
        <v>168</v>
      </c>
      <c r="EK20" s="18">
        <v>131</v>
      </c>
      <c r="EL20" s="18">
        <v>174</v>
      </c>
      <c r="EM20" s="18">
        <v>146</v>
      </c>
      <c r="EN20" s="18">
        <v>157</v>
      </c>
      <c r="EO20" s="18">
        <v>142</v>
      </c>
      <c r="EP20" s="18">
        <v>169</v>
      </c>
      <c r="EQ20" s="18">
        <v>82</v>
      </c>
      <c r="ER20" s="18">
        <v>148</v>
      </c>
      <c r="ES20" s="18">
        <v>115</v>
      </c>
      <c r="ET20" s="18">
        <v>151</v>
      </c>
      <c r="EU20" s="18">
        <v>159</v>
      </c>
      <c r="EV20" s="18">
        <v>158</v>
      </c>
      <c r="EW20" s="18"/>
      <c r="EX20" s="18"/>
      <c r="EY20" s="18"/>
      <c r="EZ20" s="18"/>
      <c r="FA20" s="18"/>
      <c r="FB20" s="18">
        <v>138</v>
      </c>
      <c r="FC20" s="18">
        <v>157</v>
      </c>
      <c r="FD20" s="18">
        <v>139</v>
      </c>
      <c r="FE20" s="20">
        <v>203</v>
      </c>
      <c r="FF20" s="18">
        <v>193</v>
      </c>
      <c r="FG20" s="18">
        <v>155</v>
      </c>
      <c r="FH20" s="18">
        <v>136</v>
      </c>
      <c r="FI20" s="18">
        <v>174</v>
      </c>
      <c r="FJ20" s="18">
        <v>109</v>
      </c>
      <c r="FK20" s="18">
        <v>180</v>
      </c>
      <c r="FL20" s="18">
        <v>126</v>
      </c>
      <c r="FM20" s="18">
        <v>154</v>
      </c>
      <c r="FN20" s="18"/>
      <c r="FO20" s="18"/>
      <c r="FP20" s="18"/>
      <c r="FQ20" s="18">
        <v>179</v>
      </c>
      <c r="FR20" s="18">
        <v>170</v>
      </c>
      <c r="FS20" s="18">
        <v>139</v>
      </c>
      <c r="FT20" s="18">
        <v>162</v>
      </c>
      <c r="FU20" s="18">
        <v>163</v>
      </c>
      <c r="FV20" s="18">
        <v>180</v>
      </c>
      <c r="FW20" s="18">
        <v>184</v>
      </c>
      <c r="FX20" s="18">
        <v>129</v>
      </c>
      <c r="FY20" s="18"/>
      <c r="FZ20" s="18"/>
      <c r="GA20" s="18"/>
      <c r="GB20" s="18"/>
      <c r="GC20" s="18">
        <v>182</v>
      </c>
      <c r="GD20" s="18">
        <v>151</v>
      </c>
      <c r="GE20" s="18">
        <v>162</v>
      </c>
      <c r="GF20" s="18">
        <v>101</v>
      </c>
      <c r="GG20" s="18">
        <v>147</v>
      </c>
      <c r="GH20" s="18">
        <v>117</v>
      </c>
      <c r="GI20" s="18">
        <v>151</v>
      </c>
      <c r="GJ20" s="18">
        <v>125</v>
      </c>
      <c r="GK20" s="18">
        <v>139</v>
      </c>
      <c r="GL20" s="18"/>
      <c r="GM20" s="18"/>
      <c r="GN20" s="18"/>
      <c r="GO20" s="18">
        <v>153</v>
      </c>
      <c r="GP20" s="18">
        <v>150</v>
      </c>
      <c r="GQ20" s="18">
        <v>145</v>
      </c>
      <c r="GR20" s="18">
        <v>123</v>
      </c>
      <c r="GS20" s="19">
        <v>202</v>
      </c>
      <c r="GT20" s="18">
        <v>167</v>
      </c>
      <c r="GU20" s="18">
        <v>140</v>
      </c>
      <c r="GV20" s="18">
        <v>113</v>
      </c>
      <c r="GW20" s="18">
        <v>181</v>
      </c>
      <c r="GX20" s="18"/>
      <c r="GY20" s="18">
        <v>152</v>
      </c>
      <c r="GZ20" s="18">
        <v>149</v>
      </c>
      <c r="HA20" s="18">
        <v>140</v>
      </c>
      <c r="HB20" s="18">
        <v>168</v>
      </c>
      <c r="HC20" s="18">
        <v>197</v>
      </c>
      <c r="HD20" s="18">
        <v>133</v>
      </c>
      <c r="HE20" s="18">
        <v>183</v>
      </c>
      <c r="HF20" s="18">
        <v>157</v>
      </c>
      <c r="HG20" s="18">
        <v>131</v>
      </c>
      <c r="HH20" s="18">
        <v>157</v>
      </c>
      <c r="HI20" s="18">
        <v>122</v>
      </c>
      <c r="HJ20" s="18">
        <v>149</v>
      </c>
      <c r="HK20" s="18">
        <v>155</v>
      </c>
      <c r="HL20" s="18">
        <v>147</v>
      </c>
      <c r="HM20" s="18">
        <v>140</v>
      </c>
      <c r="HN20" s="18">
        <v>198</v>
      </c>
      <c r="HO20" s="18">
        <v>106</v>
      </c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>
        <v>162</v>
      </c>
      <c r="IR20" s="18">
        <v>153</v>
      </c>
      <c r="IS20" s="18">
        <v>127</v>
      </c>
      <c r="IT20" s="18">
        <v>102</v>
      </c>
      <c r="IU20" s="18">
        <v>92</v>
      </c>
      <c r="IV20" s="18">
        <v>121</v>
      </c>
      <c r="IW20" s="18"/>
      <c r="IX20" s="18"/>
      <c r="IY20" s="18">
        <v>134</v>
      </c>
      <c r="IZ20" s="18">
        <v>141</v>
      </c>
      <c r="JA20" s="18">
        <v>182</v>
      </c>
      <c r="JB20" s="18"/>
      <c r="JC20" s="18"/>
      <c r="JD20" s="18"/>
      <c r="JE20" s="18"/>
      <c r="JF20" s="18"/>
      <c r="JG20" s="18"/>
      <c r="JH20" s="8">
        <v>121</v>
      </c>
      <c r="JI20" s="8">
        <v>174</v>
      </c>
      <c r="JJ20" s="8">
        <v>172</v>
      </c>
      <c r="JK20" s="8">
        <v>173</v>
      </c>
      <c r="JL20" s="8">
        <v>198</v>
      </c>
      <c r="JM20" s="8">
        <v>163</v>
      </c>
      <c r="JN20" s="8">
        <v>139</v>
      </c>
      <c r="JO20" s="8">
        <v>114</v>
      </c>
      <c r="JP20" s="8">
        <v>165</v>
      </c>
      <c r="JQ20" s="8">
        <v>129</v>
      </c>
      <c r="JR20" s="8">
        <v>143</v>
      </c>
      <c r="JS20" s="8">
        <v>191</v>
      </c>
      <c r="JT20" s="8">
        <v>148</v>
      </c>
      <c r="JU20" s="8">
        <v>124</v>
      </c>
      <c r="JV20" s="8">
        <v>201</v>
      </c>
      <c r="JW20" s="8">
        <v>148</v>
      </c>
      <c r="JX20" s="8">
        <v>135</v>
      </c>
      <c r="JY20" s="8">
        <v>129</v>
      </c>
      <c r="JZ20" s="8"/>
      <c r="KA20" s="8"/>
      <c r="KB20" s="8"/>
      <c r="KC20" s="8">
        <v>156</v>
      </c>
      <c r="KD20" s="8">
        <v>158</v>
      </c>
      <c r="KE20" s="8">
        <v>125</v>
      </c>
      <c r="KF20" s="8">
        <v>112</v>
      </c>
      <c r="KG20" s="8">
        <v>178</v>
      </c>
      <c r="KH20" s="8">
        <v>171</v>
      </c>
      <c r="KI20" s="8">
        <v>148</v>
      </c>
      <c r="KJ20" s="8">
        <v>136</v>
      </c>
      <c r="KK20" s="8">
        <v>181</v>
      </c>
      <c r="KL20" s="8">
        <v>141</v>
      </c>
      <c r="KM20" s="8">
        <v>97</v>
      </c>
      <c r="KN20" s="8">
        <v>181</v>
      </c>
      <c r="KO20" s="8">
        <v>194</v>
      </c>
      <c r="KP20" s="8">
        <v>147</v>
      </c>
      <c r="KQ20" s="8">
        <v>137</v>
      </c>
      <c r="KR20" s="8"/>
      <c r="KS20" s="8"/>
      <c r="KT20" s="8"/>
      <c r="KU20" s="8"/>
      <c r="KV20" s="8"/>
      <c r="KW20" s="8"/>
      <c r="KX20" s="8">
        <v>195</v>
      </c>
      <c r="KY20" s="8">
        <v>131</v>
      </c>
      <c r="KZ20" s="8">
        <v>175</v>
      </c>
      <c r="LA20" s="8">
        <v>160</v>
      </c>
      <c r="LB20" s="8">
        <v>168</v>
      </c>
      <c r="LC20" s="8">
        <v>147</v>
      </c>
      <c r="LD20" s="8">
        <v>111</v>
      </c>
      <c r="LE20" s="8">
        <v>158</v>
      </c>
      <c r="LF20" s="8">
        <v>139</v>
      </c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>
        <v>184</v>
      </c>
      <c r="MC20" s="8">
        <v>127</v>
      </c>
      <c r="MD20" s="8">
        <v>125</v>
      </c>
      <c r="ME20" s="18">
        <v>127</v>
      </c>
      <c r="MF20" s="18">
        <v>108</v>
      </c>
      <c r="MG20" s="18">
        <v>172</v>
      </c>
      <c r="MH20" s="13">
        <v>200</v>
      </c>
      <c r="MI20" s="13">
        <v>131</v>
      </c>
      <c r="MJ20" s="13">
        <v>153</v>
      </c>
      <c r="MK20" s="13">
        <v>126</v>
      </c>
      <c r="ML20" s="13">
        <v>179</v>
      </c>
      <c r="MM20" s="13">
        <v>157</v>
      </c>
      <c r="MN20" s="13"/>
      <c r="MO20" s="13"/>
      <c r="MP20" s="13"/>
      <c r="MQ20" s="13"/>
      <c r="MR20" s="13"/>
      <c r="MS20" s="13">
        <v>146</v>
      </c>
      <c r="MT20" s="13">
        <v>158</v>
      </c>
      <c r="MU20" s="13">
        <v>123</v>
      </c>
      <c r="MV20" s="13"/>
      <c r="MW20" s="13">
        <v>181</v>
      </c>
      <c r="MX20" s="13">
        <v>201</v>
      </c>
      <c r="MY20" s="13">
        <v>136</v>
      </c>
      <c r="MZ20" s="13">
        <v>171</v>
      </c>
      <c r="NA20" s="13">
        <v>149</v>
      </c>
      <c r="NB20" s="13">
        <v>145</v>
      </c>
      <c r="NC20" s="13">
        <v>160</v>
      </c>
      <c r="ND20" s="13">
        <v>144</v>
      </c>
      <c r="NE20" s="13">
        <v>144</v>
      </c>
      <c r="NF20" s="13">
        <v>151</v>
      </c>
      <c r="NG20" s="13">
        <v>138</v>
      </c>
      <c r="NH20" s="13">
        <v>138</v>
      </c>
      <c r="NI20" s="13">
        <v>123</v>
      </c>
      <c r="NJ20" s="13">
        <v>133</v>
      </c>
      <c r="NK20" s="13">
        <v>104</v>
      </c>
      <c r="NL20" s="13">
        <v>134</v>
      </c>
      <c r="NM20" s="13">
        <v>127</v>
      </c>
      <c r="NN20" s="13">
        <v>112</v>
      </c>
      <c r="NO20" s="13"/>
      <c r="NP20" s="13"/>
      <c r="NQ20" s="13"/>
      <c r="NR20" s="13">
        <v>145</v>
      </c>
      <c r="NS20" s="13">
        <v>121</v>
      </c>
      <c r="NT20" s="13">
        <v>138</v>
      </c>
      <c r="NU20" s="13">
        <v>144</v>
      </c>
      <c r="NV20" s="13">
        <v>136</v>
      </c>
      <c r="NW20" s="13">
        <v>156</v>
      </c>
      <c r="NX20" s="13">
        <v>111</v>
      </c>
      <c r="NY20" s="13">
        <v>147</v>
      </c>
      <c r="NZ20" s="13">
        <v>131</v>
      </c>
      <c r="OA20" s="13">
        <v>151</v>
      </c>
      <c r="OB20" s="13">
        <v>138</v>
      </c>
      <c r="OC20" s="13">
        <v>96</v>
      </c>
      <c r="OD20" s="13"/>
      <c r="OE20" s="13"/>
      <c r="OF20" s="13"/>
      <c r="OG20" s="13"/>
      <c r="OH20" s="13"/>
      <c r="OI20" s="13"/>
      <c r="OJ20" s="8"/>
      <c r="OK20" s="36">
        <f t="shared" si="3"/>
        <v>0</v>
      </c>
      <c r="OL20" s="10">
        <f t="shared" si="4"/>
        <v>0</v>
      </c>
      <c r="OM20" s="10">
        <f t="shared" si="5"/>
        <v>151.91228070175438</v>
      </c>
      <c r="ON20" s="10">
        <f t="shared" si="6"/>
        <v>140.36363636363637</v>
      </c>
      <c r="OO20" s="10">
        <f t="shared" si="7"/>
        <v>144.64150943396226</v>
      </c>
      <c r="OR20" s="256"/>
      <c r="OS20" s="256"/>
      <c r="OT20" s="256"/>
      <c r="OU20" s="256"/>
      <c r="OV20" s="256"/>
    </row>
    <row r="21" spans="1:412" ht="16.5" hidden="1" customHeight="1">
      <c r="A21" s="8" t="s">
        <v>312</v>
      </c>
      <c r="B21" s="8" t="str">
        <f>VLOOKUP(A21,'미니게임_DATA(순)'!$A$4:$B$60,2,0)</f>
        <v>N</v>
      </c>
      <c r="C21" s="13"/>
      <c r="D21" s="13"/>
      <c r="E21" s="13"/>
      <c r="F21" s="13"/>
      <c r="G21" s="13"/>
      <c r="H21" s="13"/>
      <c r="I21" s="13"/>
      <c r="J21" s="13"/>
      <c r="K21" s="13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0"/>
      <c r="AE21" s="18"/>
      <c r="AF21" s="18"/>
      <c r="AG21" s="20"/>
      <c r="AH21" s="18"/>
      <c r="AI21" s="18"/>
      <c r="AJ21" s="20"/>
      <c r="AK21" s="18"/>
      <c r="AL21" s="18"/>
      <c r="AM21" s="22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20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20"/>
      <c r="DG21" s="18"/>
      <c r="DH21" s="18"/>
      <c r="DI21" s="20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20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28"/>
      <c r="HZ21" s="28"/>
      <c r="IA21" s="2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  <c r="IW21" s="18"/>
      <c r="IX21" s="18"/>
      <c r="IY21" s="18"/>
      <c r="IZ21" s="18"/>
      <c r="JA21" s="18"/>
      <c r="JB21" s="18"/>
      <c r="JC21" s="18"/>
      <c r="JD21" s="18"/>
      <c r="JE21" s="18"/>
      <c r="JF21" s="18"/>
      <c r="JG21" s="1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13"/>
      <c r="MI21" s="13"/>
      <c r="MJ21" s="13"/>
      <c r="MK21" s="13"/>
      <c r="ML21" s="13"/>
      <c r="MM21" s="13"/>
      <c r="MN21" s="13">
        <v>98</v>
      </c>
      <c r="MO21" s="13">
        <v>85</v>
      </c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8"/>
      <c r="OK21" s="36">
        <f>SUM(NU21:NW21)</f>
        <v>0</v>
      </c>
      <c r="OL21" s="10">
        <f>IFERROR(AVERAGE(NU21:NW21),0)</f>
        <v>0</v>
      </c>
      <c r="OM21" s="10">
        <f t="shared" si="5"/>
        <v>91.5</v>
      </c>
      <c r="ON21" s="10">
        <f t="shared" si="6"/>
        <v>0</v>
      </c>
      <c r="OO21" s="10">
        <f t="shared" si="7"/>
        <v>91.5</v>
      </c>
    </row>
    <row r="22" spans="1:412">
      <c r="A22" s="8" t="s">
        <v>9</v>
      </c>
      <c r="B22" s="8" t="str">
        <f>VLOOKUP(A22,'미니게임_DATA(순)'!$A$4:$B$60,2,0)</f>
        <v>Y</v>
      </c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8"/>
      <c r="N22" s="20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20"/>
      <c r="AD22" s="18"/>
      <c r="AE22" s="18"/>
      <c r="AF22" s="18"/>
      <c r="AG22" s="18"/>
      <c r="AH22" s="18"/>
      <c r="AI22" s="18"/>
      <c r="AJ22" s="18">
        <v>86</v>
      </c>
      <c r="AK22" s="18">
        <v>127</v>
      </c>
      <c r="AL22" s="18">
        <v>119</v>
      </c>
      <c r="AM22" s="18">
        <v>169</v>
      </c>
      <c r="AN22" s="18">
        <v>131</v>
      </c>
      <c r="AO22" s="18">
        <v>100</v>
      </c>
      <c r="AP22" s="18"/>
      <c r="AQ22" s="18"/>
      <c r="AR22" s="18"/>
      <c r="AS22" s="18">
        <v>141</v>
      </c>
      <c r="AT22" s="18">
        <v>103</v>
      </c>
      <c r="AU22" s="18">
        <v>94</v>
      </c>
      <c r="AV22" s="18">
        <v>154</v>
      </c>
      <c r="AW22" s="18">
        <v>151</v>
      </c>
      <c r="AX22" s="18">
        <v>128</v>
      </c>
      <c r="AY22" s="18"/>
      <c r="AZ22" s="18"/>
      <c r="BA22" s="18"/>
      <c r="BB22" s="18"/>
      <c r="BC22" s="18"/>
      <c r="BD22" s="18"/>
      <c r="BE22" s="18"/>
      <c r="BF22" s="18"/>
      <c r="BG22" s="18"/>
      <c r="BH22" s="18">
        <v>140</v>
      </c>
      <c r="BI22" s="18">
        <v>110</v>
      </c>
      <c r="BJ22" s="18">
        <v>126</v>
      </c>
      <c r="BK22" s="18">
        <v>92</v>
      </c>
      <c r="BL22" s="18">
        <v>101</v>
      </c>
      <c r="BM22" s="18">
        <v>131</v>
      </c>
      <c r="BN22" s="18">
        <v>148</v>
      </c>
      <c r="BO22" s="18">
        <v>115</v>
      </c>
      <c r="BP22" s="25">
        <v>172</v>
      </c>
      <c r="BQ22" s="18">
        <v>96</v>
      </c>
      <c r="BR22" s="18">
        <v>161</v>
      </c>
      <c r="BS22" s="18">
        <v>123</v>
      </c>
      <c r="BT22" s="18">
        <v>133</v>
      </c>
      <c r="BU22" s="18">
        <v>133</v>
      </c>
      <c r="BV22" s="18">
        <v>153</v>
      </c>
      <c r="BW22" s="18"/>
      <c r="BX22" s="18">
        <v>136</v>
      </c>
      <c r="BY22" s="18">
        <v>119</v>
      </c>
      <c r="BZ22" s="18">
        <v>178</v>
      </c>
      <c r="CA22" s="18">
        <v>150</v>
      </c>
      <c r="CB22" s="18">
        <v>182</v>
      </c>
      <c r="CC22" s="18">
        <v>169</v>
      </c>
      <c r="CD22" s="18">
        <v>135</v>
      </c>
      <c r="CE22" s="33">
        <v>184</v>
      </c>
      <c r="CF22" s="18">
        <v>167</v>
      </c>
      <c r="CG22" s="18"/>
      <c r="CH22" s="18"/>
      <c r="CI22" s="18"/>
      <c r="CJ22" s="18"/>
      <c r="CK22" s="18">
        <v>145</v>
      </c>
      <c r="CL22" s="18">
        <v>173</v>
      </c>
      <c r="CM22" s="18">
        <v>165</v>
      </c>
      <c r="CN22" s="18">
        <v>123</v>
      </c>
      <c r="CO22" s="18">
        <v>192</v>
      </c>
      <c r="CP22" s="18">
        <v>179</v>
      </c>
      <c r="CQ22" s="18">
        <v>152</v>
      </c>
      <c r="CR22" s="18"/>
      <c r="CS22" s="18">
        <v>143</v>
      </c>
      <c r="CT22" s="18">
        <v>143</v>
      </c>
      <c r="CU22" s="18">
        <v>144</v>
      </c>
      <c r="CV22" s="18"/>
      <c r="CW22" s="18"/>
      <c r="CX22" s="18">
        <v>153</v>
      </c>
      <c r="CY22" s="18">
        <v>124</v>
      </c>
      <c r="CZ22" s="18">
        <v>146</v>
      </c>
      <c r="DA22" s="18">
        <v>101</v>
      </c>
      <c r="DB22" s="18">
        <v>134</v>
      </c>
      <c r="DC22" s="18">
        <v>136</v>
      </c>
      <c r="DD22" s="18">
        <v>143</v>
      </c>
      <c r="DE22" s="18"/>
      <c r="DF22" s="18"/>
      <c r="DG22" s="18"/>
      <c r="DH22" s="18">
        <v>140</v>
      </c>
      <c r="DI22" s="18">
        <v>136</v>
      </c>
      <c r="DJ22" s="18">
        <v>155</v>
      </c>
      <c r="DK22" s="18">
        <v>118</v>
      </c>
      <c r="DL22" s="18">
        <v>170</v>
      </c>
      <c r="DM22" s="18">
        <v>143</v>
      </c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>
        <v>155</v>
      </c>
      <c r="DY22" s="18">
        <v>107</v>
      </c>
      <c r="DZ22" s="18">
        <v>125</v>
      </c>
      <c r="EA22" s="18">
        <v>113</v>
      </c>
      <c r="EB22" s="18">
        <v>121</v>
      </c>
      <c r="EC22" s="18">
        <v>155</v>
      </c>
      <c r="ED22" s="18"/>
      <c r="EE22" s="18">
        <v>134</v>
      </c>
      <c r="EF22" s="18">
        <v>112</v>
      </c>
      <c r="EG22" s="18">
        <v>160</v>
      </c>
      <c r="EH22" s="18"/>
      <c r="EI22" s="18"/>
      <c r="EJ22" s="18"/>
      <c r="EK22" s="18"/>
      <c r="EL22" s="18"/>
      <c r="EM22" s="18">
        <v>119</v>
      </c>
      <c r="EN22" s="18">
        <v>161</v>
      </c>
      <c r="EO22" s="18">
        <v>157</v>
      </c>
      <c r="EP22" s="18">
        <v>127</v>
      </c>
      <c r="EQ22" s="18">
        <v>168</v>
      </c>
      <c r="ER22" s="18">
        <v>144</v>
      </c>
      <c r="ES22" s="18">
        <v>161</v>
      </c>
      <c r="ET22" s="18">
        <v>116</v>
      </c>
      <c r="EU22" s="18">
        <v>162</v>
      </c>
      <c r="EV22" s="18">
        <v>155</v>
      </c>
      <c r="EW22" s="18"/>
      <c r="EX22" s="18"/>
      <c r="EY22" s="18"/>
      <c r="EZ22" s="18"/>
      <c r="FA22" s="18"/>
      <c r="FB22" s="18">
        <v>150</v>
      </c>
      <c r="FC22" s="18">
        <v>166</v>
      </c>
      <c r="FD22" s="18">
        <v>188</v>
      </c>
      <c r="FE22" s="18">
        <v>188</v>
      </c>
      <c r="FF22" s="18">
        <v>187</v>
      </c>
      <c r="FG22" s="18">
        <v>153</v>
      </c>
      <c r="FH22" s="18"/>
      <c r="FI22" s="18"/>
      <c r="FJ22" s="18"/>
      <c r="FK22" s="18">
        <v>157</v>
      </c>
      <c r="FL22" s="18">
        <v>158</v>
      </c>
      <c r="FM22" s="18">
        <v>149</v>
      </c>
      <c r="FN22" s="18">
        <v>115</v>
      </c>
      <c r="FO22" s="20">
        <v>200</v>
      </c>
      <c r="FP22" s="18">
        <v>185</v>
      </c>
      <c r="FQ22" s="18">
        <v>115</v>
      </c>
      <c r="FR22" s="18">
        <v>147</v>
      </c>
      <c r="FS22" s="18">
        <v>167</v>
      </c>
      <c r="FT22" s="18">
        <v>124</v>
      </c>
      <c r="FU22" s="18">
        <v>142</v>
      </c>
      <c r="FV22" s="18"/>
      <c r="FW22" s="18"/>
      <c r="FX22" s="18"/>
      <c r="FY22" s="18">
        <v>148</v>
      </c>
      <c r="FZ22" s="18">
        <v>180</v>
      </c>
      <c r="GA22" s="20">
        <v>221</v>
      </c>
      <c r="GB22" s="18"/>
      <c r="GC22" s="18">
        <v>157</v>
      </c>
      <c r="GD22" s="18">
        <v>143</v>
      </c>
      <c r="GE22" s="18">
        <v>167</v>
      </c>
      <c r="GF22" s="18">
        <v>136</v>
      </c>
      <c r="GG22" s="18">
        <v>158</v>
      </c>
      <c r="GH22" s="18">
        <v>156</v>
      </c>
      <c r="GI22" s="18">
        <v>162</v>
      </c>
      <c r="GJ22" s="18">
        <v>167</v>
      </c>
      <c r="GK22" s="18">
        <v>178</v>
      </c>
      <c r="GL22" s="18">
        <v>151</v>
      </c>
      <c r="GM22" s="18">
        <v>141</v>
      </c>
      <c r="GN22" s="18">
        <v>133</v>
      </c>
      <c r="GO22" s="18">
        <v>192</v>
      </c>
      <c r="GP22" s="18">
        <v>152</v>
      </c>
      <c r="GQ22" s="18">
        <v>172</v>
      </c>
      <c r="GR22" s="19">
        <v>214</v>
      </c>
      <c r="GS22" s="18">
        <v>157</v>
      </c>
      <c r="GT22" s="18">
        <v>153</v>
      </c>
      <c r="GU22" s="18">
        <v>139</v>
      </c>
      <c r="GV22" s="18">
        <v>212</v>
      </c>
      <c r="GW22" s="18">
        <v>141</v>
      </c>
      <c r="GX22" s="18">
        <v>181</v>
      </c>
      <c r="GY22" s="18">
        <v>180</v>
      </c>
      <c r="GZ22" s="18">
        <v>164</v>
      </c>
      <c r="HA22" s="18">
        <v>161</v>
      </c>
      <c r="HB22" s="18">
        <v>168</v>
      </c>
      <c r="HC22" s="18">
        <v>173</v>
      </c>
      <c r="HD22" s="18">
        <v>133</v>
      </c>
      <c r="HE22" s="18">
        <v>157</v>
      </c>
      <c r="HF22" s="18">
        <v>138</v>
      </c>
      <c r="HG22" s="18">
        <v>157</v>
      </c>
      <c r="HH22" s="18">
        <v>126</v>
      </c>
      <c r="HI22" s="18">
        <v>159</v>
      </c>
      <c r="HJ22" s="18">
        <v>134</v>
      </c>
      <c r="HK22" s="18">
        <v>141</v>
      </c>
      <c r="HL22" s="18">
        <v>150</v>
      </c>
      <c r="HM22" s="18">
        <v>149</v>
      </c>
      <c r="HN22" s="18">
        <v>137</v>
      </c>
      <c r="HO22" s="18">
        <v>115</v>
      </c>
      <c r="HP22" s="18">
        <v>170</v>
      </c>
      <c r="HQ22" s="23">
        <v>190</v>
      </c>
      <c r="HR22" s="18">
        <v>170</v>
      </c>
      <c r="HS22" s="18">
        <v>174</v>
      </c>
      <c r="HT22" s="18">
        <v>145</v>
      </c>
      <c r="HU22" s="18">
        <v>162</v>
      </c>
      <c r="HV22" s="18">
        <v>174</v>
      </c>
      <c r="HW22" s="18">
        <v>161</v>
      </c>
      <c r="HX22" s="18">
        <v>179</v>
      </c>
      <c r="HY22" s="28">
        <v>156</v>
      </c>
      <c r="HZ22" s="28">
        <v>127</v>
      </c>
      <c r="IA22" s="28">
        <v>148</v>
      </c>
      <c r="IB22" s="18"/>
      <c r="IC22" s="18"/>
      <c r="ID22" s="18"/>
      <c r="IE22" s="18">
        <v>110</v>
      </c>
      <c r="IF22" s="18">
        <v>157</v>
      </c>
      <c r="IG22" s="18">
        <v>121</v>
      </c>
      <c r="IH22" s="18"/>
      <c r="II22" s="18"/>
      <c r="IJ22" s="18"/>
      <c r="IK22" s="23">
        <v>194</v>
      </c>
      <c r="IL22" s="18">
        <v>168</v>
      </c>
      <c r="IM22" s="18">
        <v>160</v>
      </c>
      <c r="IN22" s="18">
        <v>143</v>
      </c>
      <c r="IO22" s="18">
        <v>123</v>
      </c>
      <c r="IP22" s="18">
        <v>108</v>
      </c>
      <c r="IQ22" s="18"/>
      <c r="IR22" s="18"/>
      <c r="IS22" s="18"/>
      <c r="IT22" s="18">
        <v>177</v>
      </c>
      <c r="IU22" s="18">
        <v>146</v>
      </c>
      <c r="IV22" s="18">
        <v>168</v>
      </c>
      <c r="IW22" s="18"/>
      <c r="IX22" s="18"/>
      <c r="IY22" s="18">
        <v>165</v>
      </c>
      <c r="IZ22" s="18">
        <v>201</v>
      </c>
      <c r="JA22" s="18">
        <v>199</v>
      </c>
      <c r="JB22" s="18"/>
      <c r="JC22" s="18"/>
      <c r="JD22" s="18"/>
      <c r="JE22" s="18">
        <v>172</v>
      </c>
      <c r="JF22" s="18">
        <v>202</v>
      </c>
      <c r="JG22" s="18">
        <v>170</v>
      </c>
      <c r="JH22" s="8">
        <v>193</v>
      </c>
      <c r="JI22" s="8">
        <v>139</v>
      </c>
      <c r="JJ22" s="8">
        <v>147</v>
      </c>
      <c r="JK22" s="8">
        <v>181</v>
      </c>
      <c r="JL22" s="8">
        <v>139</v>
      </c>
      <c r="JM22" s="8">
        <v>163</v>
      </c>
      <c r="JN22" s="8"/>
      <c r="JO22" s="8"/>
      <c r="JP22" s="8"/>
      <c r="JQ22" s="8">
        <v>189</v>
      </c>
      <c r="JR22" s="8">
        <v>145</v>
      </c>
      <c r="JS22" s="8">
        <v>235</v>
      </c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>
        <v>136</v>
      </c>
      <c r="LE22" s="8">
        <v>136</v>
      </c>
      <c r="LF22" s="8">
        <v>175</v>
      </c>
      <c r="LG22" s="8">
        <v>156</v>
      </c>
      <c r="LH22" s="8">
        <v>149</v>
      </c>
      <c r="LI22" s="8">
        <v>179</v>
      </c>
      <c r="LJ22" s="8"/>
      <c r="LK22" s="8"/>
      <c r="LL22" s="8"/>
      <c r="LM22" s="8">
        <v>138</v>
      </c>
      <c r="LN22" s="8">
        <v>138</v>
      </c>
      <c r="LO22" s="8">
        <v>140</v>
      </c>
      <c r="LP22" s="8">
        <v>136</v>
      </c>
      <c r="LQ22" s="8">
        <v>149</v>
      </c>
      <c r="LR22" s="8">
        <v>136</v>
      </c>
      <c r="LS22" s="8">
        <v>126</v>
      </c>
      <c r="LT22" s="8">
        <v>162</v>
      </c>
      <c r="LU22" s="8">
        <v>162</v>
      </c>
      <c r="LV22" s="8"/>
      <c r="LW22" s="8"/>
      <c r="LX22" s="8"/>
      <c r="LY22" s="8"/>
      <c r="LZ22" s="8"/>
      <c r="MA22" s="8"/>
      <c r="MB22" s="8">
        <v>160</v>
      </c>
      <c r="MC22" s="8">
        <v>178</v>
      </c>
      <c r="MD22" s="8">
        <v>137</v>
      </c>
      <c r="ME22" s="8"/>
      <c r="MF22" s="8"/>
      <c r="MG22" s="8"/>
      <c r="MH22" s="13"/>
      <c r="MI22" s="13">
        <v>139</v>
      </c>
      <c r="MJ22" s="13">
        <v>173</v>
      </c>
      <c r="MK22" s="13">
        <v>153</v>
      </c>
      <c r="ML22" s="13">
        <v>148</v>
      </c>
      <c r="MM22" s="13">
        <v>151</v>
      </c>
      <c r="MN22" s="13">
        <v>158</v>
      </c>
      <c r="MO22" s="13">
        <v>168</v>
      </c>
      <c r="MP22" s="13">
        <v>152</v>
      </c>
      <c r="MQ22" s="13"/>
      <c r="MR22" s="13"/>
      <c r="MS22" s="13">
        <v>144</v>
      </c>
      <c r="MT22" s="13">
        <v>121</v>
      </c>
      <c r="MU22" s="13">
        <v>160</v>
      </c>
      <c r="MV22" s="13">
        <v>163</v>
      </c>
      <c r="MW22" s="13">
        <v>183</v>
      </c>
      <c r="MX22" s="13">
        <v>166</v>
      </c>
      <c r="MY22" s="13">
        <v>197</v>
      </c>
      <c r="MZ22" s="13">
        <v>134</v>
      </c>
      <c r="NA22" s="13">
        <v>158</v>
      </c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>
        <v>168</v>
      </c>
      <c r="NY22" s="13">
        <v>224</v>
      </c>
      <c r="NZ22" s="13">
        <v>140</v>
      </c>
      <c r="OA22" s="13"/>
      <c r="OB22" s="13"/>
      <c r="OC22" s="13"/>
      <c r="OD22" s="13"/>
      <c r="OE22" s="13"/>
      <c r="OF22" s="13"/>
      <c r="OG22" s="13"/>
      <c r="OH22" s="13"/>
      <c r="OI22" s="13"/>
      <c r="OJ22" s="8"/>
      <c r="OK22" s="36">
        <f>SUM(OG22:OI22)</f>
        <v>0</v>
      </c>
      <c r="OL22" s="10">
        <f>IFERROR(AVERAGE(OG22:OI22),0)</f>
        <v>0</v>
      </c>
      <c r="OM22" s="10">
        <f t="shared" si="5"/>
        <v>160.36585365853659</v>
      </c>
      <c r="ON22" s="10">
        <f t="shared" si="6"/>
        <v>163.16666666666666</v>
      </c>
      <c r="OO22" s="10">
        <f t="shared" si="7"/>
        <v>151.75233644859813</v>
      </c>
    </row>
    <row r="23" spans="1:412" hidden="1">
      <c r="A23" s="8" t="s">
        <v>27</v>
      </c>
      <c r="B23" s="8" t="str">
        <f>VLOOKUP(A23,'미니게임_DATA(순)'!$A$4:$B$48,2,0)</f>
        <v>N</v>
      </c>
      <c r="C23" s="13"/>
      <c r="D23" s="13"/>
      <c r="E23" s="13"/>
      <c r="F23" s="13"/>
      <c r="G23" s="13"/>
      <c r="H23" s="13"/>
      <c r="I23" s="13"/>
      <c r="J23" s="13"/>
      <c r="K23" s="13"/>
      <c r="L23" s="18"/>
      <c r="M23" s="18"/>
      <c r="N23" s="20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>
        <v>24</v>
      </c>
      <c r="HQ23" s="18">
        <v>28</v>
      </c>
      <c r="HR23" s="18">
        <v>51</v>
      </c>
      <c r="HS23" s="18"/>
      <c r="HT23" s="18"/>
      <c r="HU23" s="18"/>
      <c r="HV23" s="18"/>
      <c r="HW23" s="18"/>
      <c r="HX23" s="18"/>
      <c r="HY23" s="28">
        <v>52</v>
      </c>
      <c r="HZ23" s="28">
        <v>28</v>
      </c>
      <c r="IA23" s="28">
        <v>50</v>
      </c>
      <c r="IB23" s="18">
        <v>74</v>
      </c>
      <c r="IC23" s="18">
        <v>60</v>
      </c>
      <c r="ID23" s="18">
        <v>75</v>
      </c>
      <c r="IE23" s="18">
        <v>52</v>
      </c>
      <c r="IF23" s="18">
        <v>77</v>
      </c>
      <c r="IG23" s="18">
        <v>64</v>
      </c>
      <c r="IH23" s="18"/>
      <c r="II23" s="18"/>
      <c r="IJ23" s="18"/>
      <c r="IK23" s="18">
        <v>36</v>
      </c>
      <c r="IL23" s="18">
        <v>61</v>
      </c>
      <c r="IM23" s="18">
        <v>79</v>
      </c>
      <c r="IN23" s="18"/>
      <c r="IO23" s="18"/>
      <c r="IP23" s="18"/>
      <c r="IQ23" s="18"/>
      <c r="IR23" s="18"/>
      <c r="IS23" s="18"/>
      <c r="IT23" s="18"/>
      <c r="IU23" s="18"/>
      <c r="IV23" s="18"/>
      <c r="IW23" s="18"/>
      <c r="IX23" s="18"/>
      <c r="IY23" s="18"/>
      <c r="IZ23" s="18"/>
      <c r="JA23" s="18"/>
      <c r="JB23" s="18"/>
      <c r="JC23" s="18"/>
      <c r="JD23" s="18"/>
      <c r="JE23" s="18"/>
      <c r="JF23" s="18"/>
      <c r="JG23" s="18"/>
      <c r="JH23" s="8"/>
      <c r="JI23" s="8"/>
      <c r="JJ23" s="8"/>
      <c r="JK23" s="8"/>
      <c r="JL23" s="8">
        <v>68</v>
      </c>
      <c r="JM23" s="8">
        <v>72</v>
      </c>
      <c r="JN23" s="8">
        <v>45</v>
      </c>
      <c r="JO23" s="8">
        <v>111</v>
      </c>
      <c r="JP23" s="8">
        <v>49</v>
      </c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36">
        <f>SUM(KX23:KZ23)</f>
        <v>0</v>
      </c>
      <c r="OL23" s="10">
        <f>IFERROR(AVERAGE(KX23:KZ23),0)</f>
        <v>0</v>
      </c>
      <c r="OM23" s="10">
        <f>IFERROR(SUM(IY23:OJ23)/COUNTIF(IY23:OJ23, "&gt;0"),0)</f>
        <v>69</v>
      </c>
      <c r="ON23" s="10"/>
      <c r="OO23" s="10">
        <f t="shared" si="7"/>
        <v>57.8</v>
      </c>
    </row>
    <row r="24" spans="1:412">
      <c r="A24" s="454" t="s">
        <v>473</v>
      </c>
      <c r="B24" s="8" t="str">
        <f>VLOOKUP(A24,'미니게임_DATA(순)'!$A$4:$B$60,2,0)</f>
        <v>Y</v>
      </c>
      <c r="C24" s="374"/>
      <c r="D24" s="374"/>
      <c r="E24" s="374"/>
      <c r="F24" s="374"/>
      <c r="G24" s="374"/>
      <c r="H24" s="374"/>
      <c r="I24" s="374"/>
      <c r="J24" s="374"/>
      <c r="K24" s="374"/>
      <c r="L24" s="454"/>
      <c r="M24" s="454"/>
      <c r="N24" s="454"/>
      <c r="O24" s="454"/>
      <c r="P24" s="454"/>
      <c r="Q24" s="454"/>
      <c r="R24" s="454"/>
      <c r="S24" s="454"/>
      <c r="T24" s="454"/>
      <c r="U24" s="454"/>
      <c r="V24" s="454"/>
      <c r="W24" s="454"/>
      <c r="X24" s="454"/>
      <c r="Y24" s="454"/>
      <c r="Z24" s="454"/>
      <c r="AA24" s="454"/>
      <c r="AB24" s="454"/>
      <c r="AC24" s="454"/>
      <c r="AD24" s="454"/>
      <c r="AE24" s="454"/>
      <c r="AF24" s="454"/>
      <c r="AG24" s="454"/>
      <c r="AH24" s="454"/>
      <c r="AI24" s="454"/>
      <c r="AJ24" s="454"/>
      <c r="AK24" s="454"/>
      <c r="AL24" s="454"/>
      <c r="AM24" s="454"/>
      <c r="AN24" s="454"/>
      <c r="AO24" s="454"/>
      <c r="AP24" s="454"/>
      <c r="AQ24" s="454"/>
      <c r="AR24" s="454"/>
      <c r="AS24" s="454"/>
      <c r="AT24" s="454"/>
      <c r="AU24" s="454"/>
      <c r="AV24" s="454"/>
      <c r="AW24" s="454"/>
      <c r="AX24" s="454"/>
      <c r="AY24" s="454"/>
      <c r="AZ24" s="454"/>
      <c r="BA24" s="454"/>
      <c r="BB24" s="454"/>
      <c r="BC24" s="454"/>
      <c r="BD24" s="454"/>
      <c r="BE24" s="454"/>
      <c r="BF24" s="454"/>
      <c r="BG24" s="454"/>
      <c r="BH24" s="454"/>
      <c r="BI24" s="454"/>
      <c r="BJ24" s="454"/>
      <c r="BK24" s="454"/>
      <c r="BL24" s="454"/>
      <c r="BM24" s="454"/>
      <c r="BN24" s="454"/>
      <c r="BO24" s="454"/>
      <c r="BP24" s="454"/>
      <c r="BQ24" s="454"/>
      <c r="BR24" s="454"/>
      <c r="BS24" s="454"/>
      <c r="BT24" s="454"/>
      <c r="BU24" s="454"/>
      <c r="BV24" s="454"/>
      <c r="BW24" s="454"/>
      <c r="BX24" s="454"/>
      <c r="BY24" s="454"/>
      <c r="BZ24" s="454"/>
      <c r="CA24" s="454"/>
      <c r="CB24" s="454"/>
      <c r="CC24" s="454"/>
      <c r="CD24" s="454"/>
      <c r="CE24" s="454"/>
      <c r="CF24" s="454"/>
      <c r="CG24" s="454"/>
      <c r="CH24" s="454"/>
      <c r="CI24" s="454"/>
      <c r="CJ24" s="454"/>
      <c r="CK24" s="454"/>
      <c r="CL24" s="454"/>
      <c r="CM24" s="454"/>
      <c r="CN24" s="454"/>
      <c r="CO24" s="454"/>
      <c r="CP24" s="454"/>
      <c r="CQ24" s="454"/>
      <c r="CR24" s="454"/>
      <c r="CS24" s="454"/>
      <c r="CT24" s="454"/>
      <c r="CU24" s="454"/>
      <c r="CV24" s="454"/>
      <c r="CW24" s="454"/>
      <c r="CX24" s="454"/>
      <c r="CY24" s="454"/>
      <c r="CZ24" s="454"/>
      <c r="DA24" s="454"/>
      <c r="DB24" s="454"/>
      <c r="DC24" s="454"/>
      <c r="DD24" s="454"/>
      <c r="DE24" s="454"/>
      <c r="DF24" s="454"/>
      <c r="DG24" s="454"/>
      <c r="DH24" s="454"/>
      <c r="DI24" s="454"/>
      <c r="DJ24" s="454"/>
      <c r="DK24" s="454"/>
      <c r="DL24" s="454"/>
      <c r="DM24" s="454"/>
      <c r="DN24" s="454"/>
      <c r="DO24" s="454"/>
      <c r="DP24" s="454"/>
      <c r="DQ24" s="454"/>
      <c r="DR24" s="454"/>
      <c r="DS24" s="454"/>
      <c r="DT24" s="454"/>
      <c r="DU24" s="454"/>
      <c r="DV24" s="454"/>
      <c r="DW24" s="454"/>
      <c r="DX24" s="454"/>
      <c r="DY24" s="454"/>
      <c r="DZ24" s="454"/>
      <c r="EA24" s="454"/>
      <c r="EB24" s="454"/>
      <c r="EC24" s="454"/>
      <c r="ED24" s="454"/>
      <c r="EE24" s="454"/>
      <c r="EF24" s="454"/>
      <c r="EG24" s="454"/>
      <c r="EH24" s="454"/>
      <c r="EI24" s="454"/>
      <c r="EJ24" s="454"/>
      <c r="EK24" s="454"/>
      <c r="EL24" s="454"/>
      <c r="EM24" s="454"/>
      <c r="EN24" s="454"/>
      <c r="EO24" s="454"/>
      <c r="EP24" s="454"/>
      <c r="EQ24" s="454"/>
      <c r="ER24" s="454"/>
      <c r="ES24" s="454"/>
      <c r="ET24" s="454"/>
      <c r="EU24" s="454"/>
      <c r="EV24" s="454"/>
      <c r="EW24" s="454"/>
      <c r="EX24" s="454"/>
      <c r="EY24" s="454"/>
      <c r="EZ24" s="454"/>
      <c r="FA24" s="454"/>
      <c r="FB24" s="454"/>
      <c r="FC24" s="454"/>
      <c r="FD24" s="454"/>
      <c r="FE24" s="454"/>
      <c r="FF24" s="454"/>
      <c r="FG24" s="454"/>
      <c r="FH24" s="454"/>
      <c r="FI24" s="454"/>
      <c r="FJ24" s="454"/>
      <c r="FK24" s="454"/>
      <c r="FL24" s="454"/>
      <c r="FM24" s="454"/>
      <c r="FN24" s="454"/>
      <c r="FO24" s="454"/>
      <c r="FP24" s="454"/>
      <c r="FQ24" s="454"/>
      <c r="FR24" s="454"/>
      <c r="FS24" s="454"/>
      <c r="FT24" s="454"/>
      <c r="FU24" s="454"/>
      <c r="FV24" s="454"/>
      <c r="FW24" s="454"/>
      <c r="FX24" s="454"/>
      <c r="FY24" s="454"/>
      <c r="FZ24" s="454"/>
      <c r="GA24" s="454"/>
      <c r="GB24" s="454"/>
      <c r="GC24" s="454"/>
      <c r="GD24" s="454"/>
      <c r="GE24" s="454"/>
      <c r="GF24" s="454"/>
      <c r="GG24" s="454"/>
      <c r="GH24" s="454"/>
      <c r="GI24" s="454"/>
      <c r="GJ24" s="454"/>
      <c r="GK24" s="454"/>
      <c r="GL24" s="454"/>
      <c r="GM24" s="454"/>
      <c r="GN24" s="454"/>
      <c r="GO24" s="454"/>
      <c r="GP24" s="454"/>
      <c r="GQ24" s="454"/>
      <c r="GR24" s="454"/>
      <c r="GS24" s="454"/>
      <c r="GT24" s="454"/>
      <c r="GU24" s="454"/>
      <c r="GV24" s="454"/>
      <c r="GW24" s="454"/>
      <c r="GX24" s="454"/>
      <c r="GY24" s="454"/>
      <c r="GZ24" s="454"/>
      <c r="HA24" s="454"/>
      <c r="HB24" s="454"/>
      <c r="HC24" s="454"/>
      <c r="HD24" s="454"/>
      <c r="HE24" s="454"/>
      <c r="HF24" s="454"/>
      <c r="HG24" s="454"/>
      <c r="HH24" s="454"/>
      <c r="HI24" s="454"/>
      <c r="HJ24" s="454"/>
      <c r="HK24" s="454"/>
      <c r="HL24" s="454"/>
      <c r="HM24" s="454"/>
      <c r="HN24" s="454"/>
      <c r="HO24" s="454"/>
      <c r="HP24" s="454"/>
      <c r="HQ24" s="454"/>
      <c r="HR24" s="454"/>
      <c r="HS24" s="454"/>
      <c r="HT24" s="454"/>
      <c r="HU24" s="454"/>
      <c r="HV24" s="454"/>
      <c r="HW24" s="454"/>
      <c r="HX24" s="454"/>
      <c r="HY24" s="454"/>
      <c r="HZ24" s="454"/>
      <c r="IA24" s="454"/>
      <c r="IB24" s="454"/>
      <c r="IC24" s="454"/>
      <c r="ID24" s="454"/>
      <c r="IE24" s="454"/>
      <c r="IF24" s="454"/>
      <c r="IG24" s="454"/>
      <c r="IH24" s="454"/>
      <c r="II24" s="454"/>
      <c r="IJ24" s="454"/>
      <c r="IK24" s="454"/>
      <c r="IL24" s="454"/>
      <c r="IM24" s="454"/>
      <c r="IN24" s="454"/>
      <c r="IO24" s="454"/>
      <c r="IP24" s="454"/>
      <c r="IQ24" s="454"/>
      <c r="IR24" s="454"/>
      <c r="IS24" s="454"/>
      <c r="IT24" s="454"/>
      <c r="IU24" s="454"/>
      <c r="IV24" s="454"/>
      <c r="IW24" s="454"/>
      <c r="IX24" s="454"/>
      <c r="IY24" s="454"/>
      <c r="IZ24" s="454"/>
      <c r="JA24" s="454"/>
      <c r="JB24" s="454"/>
      <c r="JC24" s="454"/>
      <c r="JD24" s="454"/>
      <c r="JE24" s="454"/>
      <c r="JF24" s="454"/>
      <c r="JG24" s="454"/>
      <c r="JH24" s="454"/>
      <c r="JI24" s="454"/>
      <c r="JJ24" s="454"/>
      <c r="JK24" s="454"/>
      <c r="JL24" s="454"/>
      <c r="JM24" s="454"/>
      <c r="JN24" s="454"/>
      <c r="JO24" s="454"/>
      <c r="JP24" s="454"/>
      <c r="JQ24" s="454"/>
      <c r="JR24" s="454"/>
      <c r="JS24" s="454"/>
      <c r="JT24" s="454"/>
      <c r="JU24" s="454"/>
      <c r="JV24" s="454"/>
      <c r="JW24" s="454"/>
      <c r="JX24" s="454"/>
      <c r="JY24" s="454"/>
      <c r="JZ24" s="454"/>
      <c r="KA24" s="454"/>
      <c r="KB24" s="454"/>
      <c r="KC24" s="454"/>
      <c r="KD24" s="454"/>
      <c r="KE24" s="454"/>
      <c r="KF24" s="454"/>
      <c r="KG24" s="454"/>
      <c r="KH24" s="454"/>
      <c r="KI24" s="454"/>
      <c r="KJ24" s="454"/>
      <c r="KK24" s="454"/>
      <c r="KL24" s="454"/>
      <c r="KM24" s="454"/>
      <c r="KN24" s="454"/>
      <c r="KO24" s="454"/>
      <c r="KP24" s="454"/>
      <c r="KQ24" s="454"/>
      <c r="KR24" s="454"/>
      <c r="KS24" s="454"/>
      <c r="KT24" s="454"/>
      <c r="KU24" s="454"/>
      <c r="KV24" s="454"/>
      <c r="KW24" s="454"/>
      <c r="KX24" s="454"/>
      <c r="KY24" s="454"/>
      <c r="KZ24" s="454"/>
      <c r="LA24" s="454"/>
      <c r="LB24" s="454"/>
      <c r="LC24" s="454"/>
      <c r="LD24" s="454"/>
      <c r="LE24" s="454"/>
      <c r="LF24" s="454"/>
      <c r="LG24" s="454"/>
      <c r="LH24" s="454"/>
      <c r="LI24" s="454"/>
      <c r="LJ24" s="454"/>
      <c r="LK24" s="454"/>
      <c r="LL24" s="454"/>
      <c r="LM24" s="454"/>
      <c r="LN24" s="454"/>
      <c r="LO24" s="454"/>
      <c r="LP24" s="454"/>
      <c r="LQ24" s="454"/>
      <c r="LR24" s="454"/>
      <c r="LS24" s="454"/>
      <c r="LT24" s="454"/>
      <c r="LU24" s="454"/>
      <c r="LV24" s="454"/>
      <c r="LW24" s="454"/>
      <c r="LX24" s="454"/>
      <c r="LY24" s="454"/>
      <c r="LZ24" s="454"/>
      <c r="MA24" s="454"/>
      <c r="MB24" s="454"/>
      <c r="MC24" s="454"/>
      <c r="MD24" s="454"/>
      <c r="ME24" s="454"/>
      <c r="MF24" s="454"/>
      <c r="MG24" s="454"/>
      <c r="MH24" s="454"/>
      <c r="MI24" s="454"/>
      <c r="MJ24" s="454"/>
      <c r="MK24" s="454"/>
      <c r="ML24" s="454"/>
      <c r="MM24" s="454"/>
      <c r="MN24" s="454"/>
      <c r="MO24" s="454"/>
      <c r="MP24" s="454"/>
      <c r="MQ24" s="454"/>
      <c r="MR24" s="454"/>
      <c r="MS24" s="454"/>
      <c r="MT24" s="454"/>
      <c r="MU24" s="454"/>
      <c r="MV24" s="454"/>
      <c r="MW24" s="454"/>
      <c r="MX24" s="454"/>
      <c r="MY24" s="454"/>
      <c r="MZ24" s="454"/>
      <c r="NA24" s="454"/>
      <c r="NB24" s="454"/>
      <c r="NC24" s="454"/>
      <c r="ND24" s="454"/>
      <c r="NE24" s="454"/>
      <c r="NF24" s="454"/>
      <c r="NG24" s="454"/>
      <c r="NH24" s="454"/>
      <c r="NI24" s="454"/>
      <c r="NJ24" s="454"/>
      <c r="NK24" s="454"/>
      <c r="NL24" s="454"/>
      <c r="NM24" s="454"/>
      <c r="NN24" s="454"/>
      <c r="NO24" s="454"/>
      <c r="NP24" s="454"/>
      <c r="NQ24" s="454"/>
      <c r="NR24" s="454"/>
      <c r="NS24" s="454"/>
      <c r="NT24" s="454"/>
      <c r="NU24" s="13">
        <v>145</v>
      </c>
      <c r="NV24" s="13">
        <v>117</v>
      </c>
      <c r="NW24" s="13">
        <v>125</v>
      </c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454"/>
      <c r="OK24" s="36">
        <f>SUM(OG24:OI24)</f>
        <v>0</v>
      </c>
      <c r="OL24" s="10">
        <f>IFERROR(AVERAGE(OG24:OI24),0)</f>
        <v>0</v>
      </c>
      <c r="OM24" s="10">
        <f>IFERROR(SUM(IY24:MQ24)/COUNTIF(IY24:MQ24, "&gt;0"),0)</f>
        <v>0</v>
      </c>
      <c r="ON24" s="10">
        <f>IFERROR(SUM(MS24:OJ24)/COUNTIF(MS24:OJ24, "&gt;0"),0)</f>
        <v>129</v>
      </c>
      <c r="OO24" s="10">
        <f t="shared" si="7"/>
        <v>129</v>
      </c>
    </row>
    <row r="25" spans="1:412" hidden="1">
      <c r="A25" s="438" t="s">
        <v>19</v>
      </c>
      <c r="B25" s="8" t="str">
        <f>VLOOKUP(A25,'미니게임_DATA(순)'!$A$4:$B$48,2,0)</f>
        <v>N</v>
      </c>
      <c r="C25" s="15"/>
      <c r="D25" s="15"/>
      <c r="E25" s="15"/>
      <c r="F25" s="15"/>
      <c r="G25" s="15"/>
      <c r="H25" s="15"/>
      <c r="I25" s="15"/>
      <c r="J25" s="15"/>
      <c r="K25" s="15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>
        <v>85</v>
      </c>
      <c r="IJ25" s="14"/>
      <c r="IK25" s="14">
        <v>101</v>
      </c>
      <c r="IL25" s="14">
        <v>78</v>
      </c>
      <c r="IM25" s="14">
        <v>110</v>
      </c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>
        <v>84</v>
      </c>
      <c r="JB25" s="14"/>
      <c r="JC25" s="14"/>
      <c r="JD25" s="14"/>
      <c r="JE25" s="14"/>
      <c r="JF25" s="14"/>
      <c r="JG25" s="14"/>
      <c r="JH25" s="438"/>
      <c r="JI25" s="438"/>
      <c r="JJ25" s="438"/>
      <c r="JK25" s="438"/>
      <c r="JL25" s="438"/>
      <c r="JM25" s="438"/>
      <c r="JN25" s="438"/>
      <c r="JO25" s="438"/>
      <c r="JP25" s="438"/>
      <c r="JQ25" s="438"/>
      <c r="JR25" s="438"/>
      <c r="JS25" s="438"/>
      <c r="JT25" s="438"/>
      <c r="JU25" s="438"/>
      <c r="JV25" s="438"/>
      <c r="JW25" s="438"/>
      <c r="JX25" s="438"/>
      <c r="JY25" s="438"/>
      <c r="JZ25" s="438"/>
      <c r="KA25" s="438"/>
      <c r="KB25" s="438"/>
      <c r="KC25" s="438"/>
      <c r="KD25" s="438"/>
      <c r="KE25" s="438"/>
      <c r="KF25" s="438"/>
      <c r="KG25" s="438"/>
      <c r="KH25" s="438"/>
      <c r="KI25" s="438"/>
      <c r="KJ25" s="438"/>
      <c r="KK25" s="438"/>
      <c r="KL25" s="438"/>
      <c r="KM25" s="438"/>
      <c r="KN25" s="438"/>
      <c r="KO25" s="438"/>
      <c r="KP25" s="438"/>
      <c r="KQ25" s="438"/>
      <c r="KR25" s="438"/>
      <c r="KS25" s="438"/>
      <c r="KT25" s="438"/>
      <c r="KU25" s="438"/>
      <c r="KV25" s="438"/>
      <c r="KW25" s="438"/>
      <c r="KX25" s="438"/>
      <c r="KY25" s="438"/>
      <c r="KZ25" s="438"/>
      <c r="LA25" s="438"/>
      <c r="LB25" s="438"/>
      <c r="LC25" s="438"/>
      <c r="LD25" s="438"/>
      <c r="LE25" s="438"/>
      <c r="LF25" s="438"/>
      <c r="LG25" s="438"/>
      <c r="LH25" s="438"/>
      <c r="LI25" s="438"/>
      <c r="LJ25" s="438"/>
      <c r="LK25" s="438"/>
      <c r="LL25" s="438"/>
      <c r="LM25" s="438"/>
      <c r="LN25" s="438"/>
      <c r="LO25" s="438"/>
      <c r="LP25" s="438"/>
      <c r="LQ25" s="438"/>
      <c r="LR25" s="438"/>
      <c r="LS25" s="438"/>
      <c r="LT25" s="438"/>
      <c r="LU25" s="438"/>
      <c r="LV25" s="438"/>
      <c r="LW25" s="438"/>
      <c r="LX25" s="438"/>
      <c r="LY25" s="438"/>
      <c r="LZ25" s="438"/>
      <c r="MA25" s="438"/>
      <c r="MB25" s="438"/>
      <c r="MC25" s="438"/>
      <c r="MD25" s="438"/>
      <c r="ME25" s="438"/>
      <c r="MF25" s="438"/>
      <c r="MG25" s="438"/>
      <c r="MH25" s="438"/>
      <c r="MI25" s="438"/>
      <c r="MJ25" s="438"/>
      <c r="MK25" s="438"/>
      <c r="ML25" s="438"/>
      <c r="MM25" s="438"/>
      <c r="MN25" s="438"/>
      <c r="MO25" s="438"/>
      <c r="MP25" s="438"/>
      <c r="MQ25" s="438"/>
      <c r="MR25" s="438"/>
      <c r="MS25" s="438"/>
      <c r="MT25" s="438"/>
      <c r="MU25" s="438"/>
      <c r="MV25" s="438"/>
      <c r="MW25" s="438"/>
      <c r="MX25" s="438"/>
      <c r="MY25" s="438"/>
      <c r="MZ25" s="438"/>
      <c r="NA25" s="438"/>
      <c r="NB25" s="438"/>
      <c r="NC25" s="438"/>
      <c r="ND25" s="438"/>
      <c r="NE25" s="438"/>
      <c r="NF25" s="438"/>
      <c r="NG25" s="438"/>
      <c r="NH25" s="438"/>
      <c r="NI25" s="438"/>
      <c r="NJ25" s="438"/>
      <c r="NK25" s="438"/>
      <c r="NL25" s="438"/>
      <c r="NM25" s="438"/>
      <c r="NN25" s="438"/>
      <c r="NO25" s="438"/>
      <c r="NP25" s="438"/>
      <c r="NQ25" s="438"/>
      <c r="NR25" s="438"/>
      <c r="NS25" s="438"/>
      <c r="NT25" s="438"/>
      <c r="NU25" s="438"/>
      <c r="NV25" s="438"/>
      <c r="NW25" s="438"/>
      <c r="NX25" s="444"/>
      <c r="NY25" s="444"/>
      <c r="NZ25" s="444"/>
      <c r="OA25" s="450"/>
      <c r="OB25" s="450"/>
      <c r="OC25" s="450"/>
      <c r="OD25" s="454"/>
      <c r="OE25" s="454"/>
      <c r="OF25" s="454"/>
      <c r="OG25" s="463"/>
      <c r="OH25" s="463"/>
      <c r="OI25" s="463"/>
      <c r="OJ25" s="438"/>
      <c r="OK25" s="36">
        <f>SUM(NU25:NW25)</f>
        <v>0</v>
      </c>
      <c r="OL25" s="10">
        <f>IFERROR(AVERAGE(NU25:NW25),0)</f>
        <v>0</v>
      </c>
      <c r="OM25" s="10">
        <f>IFERROR(SUM(IY25:OJ25)/COUNTIF(IY25:OJ25, "&gt;0"),0)</f>
        <v>84</v>
      </c>
      <c r="ON25" s="10"/>
      <c r="OO25" s="10">
        <f t="shared" si="7"/>
        <v>91.6</v>
      </c>
    </row>
    <row r="26" spans="1:412" ht="18.75">
      <c r="A26" s="8" t="s">
        <v>8</v>
      </c>
      <c r="B26" s="8" t="str">
        <f>VLOOKUP(A26,'미니게임_DATA(순)'!$A$4:$B$60,2,0)</f>
        <v>Y</v>
      </c>
      <c r="C26" s="13">
        <v>174</v>
      </c>
      <c r="D26" s="13">
        <v>216</v>
      </c>
      <c r="E26" s="13">
        <v>164</v>
      </c>
      <c r="F26" s="13">
        <v>195</v>
      </c>
      <c r="G26" s="13">
        <v>189</v>
      </c>
      <c r="H26" s="13">
        <v>162</v>
      </c>
      <c r="I26" s="13">
        <v>190</v>
      </c>
      <c r="J26" s="13">
        <v>161</v>
      </c>
      <c r="K26" s="13">
        <v>167</v>
      </c>
      <c r="L26" s="18">
        <v>151</v>
      </c>
      <c r="M26" s="18">
        <v>171</v>
      </c>
      <c r="N26" s="18">
        <v>166</v>
      </c>
      <c r="O26" s="18">
        <v>190</v>
      </c>
      <c r="P26" s="18">
        <v>151</v>
      </c>
      <c r="Q26" s="18">
        <v>192</v>
      </c>
      <c r="R26" s="20">
        <v>227</v>
      </c>
      <c r="S26" s="18">
        <v>179</v>
      </c>
      <c r="T26" s="18">
        <v>189</v>
      </c>
      <c r="U26" s="18">
        <v>165</v>
      </c>
      <c r="V26" s="18">
        <v>166</v>
      </c>
      <c r="W26" s="18">
        <v>165</v>
      </c>
      <c r="X26" s="18">
        <v>138</v>
      </c>
      <c r="Y26" s="18">
        <v>125</v>
      </c>
      <c r="Z26" s="20">
        <v>209</v>
      </c>
      <c r="AA26" s="18">
        <v>191</v>
      </c>
      <c r="AB26" s="20">
        <v>213</v>
      </c>
      <c r="AC26" s="18">
        <v>157</v>
      </c>
      <c r="AD26" s="18"/>
      <c r="AE26" s="18"/>
      <c r="AF26" s="18"/>
      <c r="AG26" s="18">
        <v>178</v>
      </c>
      <c r="AH26" s="18">
        <v>189</v>
      </c>
      <c r="AI26" s="18">
        <v>188</v>
      </c>
      <c r="AJ26" s="18">
        <v>192</v>
      </c>
      <c r="AK26" s="18">
        <v>164</v>
      </c>
      <c r="AL26" s="18">
        <v>147</v>
      </c>
      <c r="AM26" s="18">
        <v>171</v>
      </c>
      <c r="AN26" s="18">
        <v>184</v>
      </c>
      <c r="AO26" s="18">
        <v>159</v>
      </c>
      <c r="AP26" s="18">
        <v>162</v>
      </c>
      <c r="AQ26" s="20">
        <v>222</v>
      </c>
      <c r="AR26" s="18">
        <v>146</v>
      </c>
      <c r="AS26" s="18">
        <v>158</v>
      </c>
      <c r="AT26" s="18">
        <v>163</v>
      </c>
      <c r="AU26" s="18">
        <v>178</v>
      </c>
      <c r="AV26" s="18">
        <v>179</v>
      </c>
      <c r="AW26" s="18">
        <v>180</v>
      </c>
      <c r="AX26" s="18">
        <v>190</v>
      </c>
      <c r="AY26" s="18">
        <v>170</v>
      </c>
      <c r="AZ26" s="20">
        <v>226</v>
      </c>
      <c r="BA26" s="18">
        <v>185</v>
      </c>
      <c r="BB26" s="20">
        <v>226</v>
      </c>
      <c r="BC26" s="18">
        <v>185</v>
      </c>
      <c r="BD26" s="18"/>
      <c r="BE26" s="18">
        <v>139</v>
      </c>
      <c r="BF26" s="18">
        <v>169</v>
      </c>
      <c r="BG26" s="18">
        <v>170</v>
      </c>
      <c r="BH26" s="18">
        <v>159</v>
      </c>
      <c r="BI26" s="18">
        <v>180</v>
      </c>
      <c r="BJ26" s="18">
        <v>180</v>
      </c>
      <c r="BK26" s="18">
        <v>146</v>
      </c>
      <c r="BL26" s="18">
        <v>175</v>
      </c>
      <c r="BM26" s="18">
        <v>143</v>
      </c>
      <c r="BN26" s="18">
        <v>168</v>
      </c>
      <c r="BO26" s="18">
        <v>135</v>
      </c>
      <c r="BP26" s="18"/>
      <c r="BQ26" s="20">
        <v>211</v>
      </c>
      <c r="BR26" s="18">
        <v>167</v>
      </c>
      <c r="BS26" s="20">
        <v>205</v>
      </c>
      <c r="BT26" s="20">
        <v>204</v>
      </c>
      <c r="BU26" s="20">
        <v>202</v>
      </c>
      <c r="BV26" s="18">
        <v>137</v>
      </c>
      <c r="BW26" s="20">
        <v>245</v>
      </c>
      <c r="BX26" s="18">
        <v>170</v>
      </c>
      <c r="BY26" s="18">
        <v>180</v>
      </c>
      <c r="BZ26" s="20">
        <v>203</v>
      </c>
      <c r="CA26" s="20">
        <v>204</v>
      </c>
      <c r="CB26" s="20">
        <v>205</v>
      </c>
      <c r="CC26" s="22">
        <v>146</v>
      </c>
      <c r="CD26" s="21">
        <v>203</v>
      </c>
      <c r="CE26" s="18">
        <v>199</v>
      </c>
      <c r="CF26" s="18">
        <v>194</v>
      </c>
      <c r="CG26" s="18">
        <v>170</v>
      </c>
      <c r="CH26" s="18">
        <v>149</v>
      </c>
      <c r="CI26" s="20">
        <v>213</v>
      </c>
      <c r="CJ26" s="18">
        <v>171</v>
      </c>
      <c r="CK26" s="18">
        <v>170</v>
      </c>
      <c r="CL26" s="18">
        <v>162</v>
      </c>
      <c r="CM26" s="18">
        <v>158</v>
      </c>
      <c r="CN26" s="18">
        <v>165</v>
      </c>
      <c r="CO26" s="18">
        <v>180</v>
      </c>
      <c r="CP26" s="18">
        <v>161</v>
      </c>
      <c r="CQ26" s="18">
        <v>132</v>
      </c>
      <c r="CR26" s="18"/>
      <c r="CS26" s="18">
        <v>178</v>
      </c>
      <c r="CT26" s="18">
        <v>174</v>
      </c>
      <c r="CU26" s="21">
        <v>212</v>
      </c>
      <c r="CV26" s="18">
        <v>159</v>
      </c>
      <c r="CW26" s="18">
        <v>178</v>
      </c>
      <c r="CX26" s="18">
        <v>161</v>
      </c>
      <c r="CY26" s="21">
        <v>212</v>
      </c>
      <c r="CZ26" s="18">
        <v>160</v>
      </c>
      <c r="DA26" s="18">
        <v>164</v>
      </c>
      <c r="DB26" s="18">
        <v>166</v>
      </c>
      <c r="DC26" s="21">
        <v>203</v>
      </c>
      <c r="DD26" s="18">
        <v>165</v>
      </c>
      <c r="DE26" s="20">
        <v>206</v>
      </c>
      <c r="DF26" s="18">
        <v>182</v>
      </c>
      <c r="DG26" s="18">
        <v>166</v>
      </c>
      <c r="DH26" s="18">
        <v>181</v>
      </c>
      <c r="DI26" s="20">
        <v>243</v>
      </c>
      <c r="DJ26" s="18">
        <v>156</v>
      </c>
      <c r="DK26" s="18">
        <v>197</v>
      </c>
      <c r="DL26" s="18">
        <v>155</v>
      </c>
      <c r="DM26" s="18">
        <v>151</v>
      </c>
      <c r="DN26" s="18"/>
      <c r="DO26" s="18">
        <v>187</v>
      </c>
      <c r="DP26" s="18">
        <v>174</v>
      </c>
      <c r="DQ26" s="18">
        <v>179</v>
      </c>
      <c r="DR26" s="18">
        <v>132</v>
      </c>
      <c r="DS26" s="18">
        <v>187</v>
      </c>
      <c r="DT26" s="18">
        <v>155</v>
      </c>
      <c r="DU26" s="20">
        <v>227</v>
      </c>
      <c r="DV26" s="20">
        <v>210</v>
      </c>
      <c r="DW26" s="18">
        <v>167</v>
      </c>
      <c r="DX26" s="18">
        <v>181</v>
      </c>
      <c r="DY26" s="18">
        <v>144</v>
      </c>
      <c r="DZ26" s="18">
        <v>171</v>
      </c>
      <c r="EA26" s="18">
        <v>167</v>
      </c>
      <c r="EB26" s="20">
        <v>210</v>
      </c>
      <c r="EC26" s="18">
        <v>171</v>
      </c>
      <c r="ED26" s="18">
        <v>160</v>
      </c>
      <c r="EE26" s="20">
        <v>212</v>
      </c>
      <c r="EF26" s="30">
        <v>226</v>
      </c>
      <c r="EG26" s="18">
        <v>155</v>
      </c>
      <c r="EH26" s="18">
        <v>178</v>
      </c>
      <c r="EI26" s="18">
        <v>198</v>
      </c>
      <c r="EJ26" s="18">
        <v>182</v>
      </c>
      <c r="EK26" s="20">
        <v>203</v>
      </c>
      <c r="EL26" s="18">
        <v>170</v>
      </c>
      <c r="EM26" s="32">
        <v>195</v>
      </c>
      <c r="EN26" s="18">
        <v>161</v>
      </c>
      <c r="EO26" s="18">
        <v>171</v>
      </c>
      <c r="EP26" s="18">
        <v>163</v>
      </c>
      <c r="EQ26" s="18">
        <v>193</v>
      </c>
      <c r="ER26" s="18">
        <v>116</v>
      </c>
      <c r="ES26" s="18">
        <v>165</v>
      </c>
      <c r="ET26" s="18">
        <v>192</v>
      </c>
      <c r="EU26" s="18">
        <v>164</v>
      </c>
      <c r="EV26" s="18">
        <v>162</v>
      </c>
      <c r="EW26" s="20">
        <v>235</v>
      </c>
      <c r="EX26" s="20">
        <v>202</v>
      </c>
      <c r="EY26" s="18">
        <v>180</v>
      </c>
      <c r="EZ26" s="18">
        <v>184</v>
      </c>
      <c r="FA26" s="18">
        <v>185</v>
      </c>
      <c r="FB26" s="20">
        <v>206</v>
      </c>
      <c r="FC26" s="18">
        <v>136</v>
      </c>
      <c r="FD26" s="31">
        <v>190</v>
      </c>
      <c r="FE26" s="20">
        <v>205</v>
      </c>
      <c r="FF26" s="18">
        <v>158</v>
      </c>
      <c r="FG26" s="18">
        <v>185</v>
      </c>
      <c r="FH26" s="18">
        <v>166</v>
      </c>
      <c r="FI26" s="20">
        <v>225</v>
      </c>
      <c r="FJ26" s="18">
        <v>187</v>
      </c>
      <c r="FK26" s="18">
        <v>163</v>
      </c>
      <c r="FL26" s="18">
        <v>156</v>
      </c>
      <c r="FM26" s="18">
        <v>169</v>
      </c>
      <c r="FN26" s="18">
        <v>183</v>
      </c>
      <c r="FO26" s="18">
        <v>148</v>
      </c>
      <c r="FP26" s="20">
        <v>224</v>
      </c>
      <c r="FQ26" s="18">
        <v>135</v>
      </c>
      <c r="FR26" s="18">
        <v>160</v>
      </c>
      <c r="FS26" s="18">
        <v>148</v>
      </c>
      <c r="FT26" s="30">
        <v>218</v>
      </c>
      <c r="FU26" s="20">
        <v>255</v>
      </c>
      <c r="FV26" s="18">
        <v>171</v>
      </c>
      <c r="FW26" s="18">
        <v>167</v>
      </c>
      <c r="FX26" s="20">
        <v>213</v>
      </c>
      <c r="FY26" s="18">
        <v>154</v>
      </c>
      <c r="FZ26" s="18">
        <v>147</v>
      </c>
      <c r="GA26" s="18">
        <v>193</v>
      </c>
      <c r="GB26" s="18"/>
      <c r="GC26" s="18">
        <v>196</v>
      </c>
      <c r="GD26" s="18">
        <v>154</v>
      </c>
      <c r="GE26" s="18">
        <v>179</v>
      </c>
      <c r="GF26" s="18">
        <v>158</v>
      </c>
      <c r="GG26" s="18">
        <v>175</v>
      </c>
      <c r="GH26" s="30">
        <v>238</v>
      </c>
      <c r="GI26" s="30">
        <v>206</v>
      </c>
      <c r="GJ26" s="18">
        <v>178</v>
      </c>
      <c r="GK26" s="18">
        <v>173</v>
      </c>
      <c r="GL26" s="18">
        <v>148</v>
      </c>
      <c r="GM26" s="18">
        <v>177</v>
      </c>
      <c r="GN26" s="18">
        <v>167</v>
      </c>
      <c r="GO26" s="18">
        <v>193</v>
      </c>
      <c r="GP26" s="18">
        <v>192</v>
      </c>
      <c r="GQ26" s="18">
        <v>186</v>
      </c>
      <c r="GR26" s="18">
        <v>169</v>
      </c>
      <c r="GS26" s="19">
        <v>213</v>
      </c>
      <c r="GT26" s="19">
        <v>201</v>
      </c>
      <c r="GU26" s="18"/>
      <c r="GV26" s="18"/>
      <c r="GW26" s="18"/>
      <c r="GX26" s="18">
        <v>181</v>
      </c>
      <c r="GY26" s="18">
        <v>138</v>
      </c>
      <c r="GZ26" s="18">
        <v>188</v>
      </c>
      <c r="HA26" s="18">
        <v>185</v>
      </c>
      <c r="HB26" s="18">
        <v>208</v>
      </c>
      <c r="HC26" s="18">
        <v>143</v>
      </c>
      <c r="HD26" s="18">
        <v>138</v>
      </c>
      <c r="HE26" s="18">
        <v>142</v>
      </c>
      <c r="HF26" s="18">
        <v>174</v>
      </c>
      <c r="HG26" s="18">
        <v>178</v>
      </c>
      <c r="HH26" s="18">
        <v>183</v>
      </c>
      <c r="HI26" s="18">
        <v>195</v>
      </c>
      <c r="HJ26" s="18">
        <v>149</v>
      </c>
      <c r="HK26" s="18">
        <v>141</v>
      </c>
      <c r="HL26" s="18">
        <v>156</v>
      </c>
      <c r="HM26" s="18">
        <v>188</v>
      </c>
      <c r="HN26" s="18">
        <v>181</v>
      </c>
      <c r="HO26" s="18">
        <v>160</v>
      </c>
      <c r="HP26" s="18">
        <v>155</v>
      </c>
      <c r="HQ26" s="18">
        <v>173</v>
      </c>
      <c r="HR26" s="18">
        <v>161</v>
      </c>
      <c r="HS26" s="18"/>
      <c r="HT26" s="18"/>
      <c r="HU26" s="18"/>
      <c r="HV26" s="18">
        <v>142</v>
      </c>
      <c r="HW26" s="18">
        <v>151</v>
      </c>
      <c r="HX26" s="18">
        <v>183</v>
      </c>
      <c r="HY26" s="28">
        <v>170</v>
      </c>
      <c r="HZ26" s="28">
        <v>193</v>
      </c>
      <c r="IA26" s="28">
        <v>165</v>
      </c>
      <c r="IB26" s="18">
        <v>175</v>
      </c>
      <c r="IC26" s="18">
        <v>193</v>
      </c>
      <c r="ID26" s="18">
        <v>158</v>
      </c>
      <c r="IE26" s="18">
        <v>187</v>
      </c>
      <c r="IF26" s="18">
        <v>196</v>
      </c>
      <c r="IG26" s="18">
        <v>160</v>
      </c>
      <c r="IH26" s="18">
        <v>180</v>
      </c>
      <c r="II26" s="18">
        <v>200</v>
      </c>
      <c r="IJ26" s="18">
        <v>150</v>
      </c>
      <c r="IK26" s="18">
        <v>167</v>
      </c>
      <c r="IL26" s="18">
        <v>186</v>
      </c>
      <c r="IM26" s="18">
        <v>197</v>
      </c>
      <c r="IN26" s="18">
        <v>233</v>
      </c>
      <c r="IO26" s="18">
        <v>124</v>
      </c>
      <c r="IP26" s="18">
        <v>166</v>
      </c>
      <c r="IQ26" s="18">
        <v>221</v>
      </c>
      <c r="IR26" s="18">
        <v>197</v>
      </c>
      <c r="IS26" s="18">
        <v>193</v>
      </c>
      <c r="IT26" s="18">
        <v>256</v>
      </c>
      <c r="IU26" s="23">
        <v>206</v>
      </c>
      <c r="IV26" s="18">
        <v>152</v>
      </c>
      <c r="IW26" s="18"/>
      <c r="IX26" s="18"/>
      <c r="IY26" s="18">
        <v>210</v>
      </c>
      <c r="IZ26" s="18">
        <v>203</v>
      </c>
      <c r="JA26" s="18">
        <v>190</v>
      </c>
      <c r="JB26" s="23">
        <v>248</v>
      </c>
      <c r="JC26" s="18">
        <v>228</v>
      </c>
      <c r="JD26" s="18">
        <v>175</v>
      </c>
      <c r="JE26" s="18">
        <v>189</v>
      </c>
      <c r="JF26" s="18">
        <v>212</v>
      </c>
      <c r="JG26" s="18">
        <v>159</v>
      </c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>
        <v>170</v>
      </c>
      <c r="KG26" s="8">
        <v>186</v>
      </c>
      <c r="KH26" s="8">
        <v>164</v>
      </c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250">
        <v>199</v>
      </c>
      <c r="KY26" s="8">
        <v>224</v>
      </c>
      <c r="KZ26" s="8">
        <v>187</v>
      </c>
      <c r="LA26" s="8">
        <v>150</v>
      </c>
      <c r="LB26" s="8">
        <v>172</v>
      </c>
      <c r="LC26" s="8">
        <v>198</v>
      </c>
      <c r="LD26" s="8">
        <v>150</v>
      </c>
      <c r="LE26" s="8">
        <v>174</v>
      </c>
      <c r="LF26" s="8">
        <v>166</v>
      </c>
      <c r="LG26" s="8">
        <v>169</v>
      </c>
      <c r="LH26" s="8">
        <v>187</v>
      </c>
      <c r="LI26" s="8">
        <v>169</v>
      </c>
      <c r="LJ26" s="250">
        <v>226</v>
      </c>
      <c r="LK26" s="8">
        <v>189</v>
      </c>
      <c r="LL26" s="8">
        <v>150</v>
      </c>
      <c r="LM26" s="8">
        <v>191</v>
      </c>
      <c r="LN26" s="8">
        <v>129</v>
      </c>
      <c r="LO26" s="8">
        <v>158</v>
      </c>
      <c r="LP26" s="8"/>
      <c r="LQ26" s="8"/>
      <c r="LR26" s="8"/>
      <c r="LS26" s="8">
        <v>162</v>
      </c>
      <c r="LT26" s="8">
        <v>158</v>
      </c>
      <c r="LU26" s="8">
        <v>150</v>
      </c>
      <c r="LV26" s="8">
        <v>230</v>
      </c>
      <c r="LW26" s="8">
        <v>170</v>
      </c>
      <c r="LX26" s="8">
        <v>135</v>
      </c>
      <c r="LY26" s="8">
        <v>149</v>
      </c>
      <c r="LZ26" s="8">
        <v>140</v>
      </c>
      <c r="MA26" s="8">
        <v>135</v>
      </c>
      <c r="MB26" s="8">
        <v>206</v>
      </c>
      <c r="MC26" s="8">
        <v>179</v>
      </c>
      <c r="MD26" s="8">
        <v>196</v>
      </c>
      <c r="ME26" s="18">
        <v>171</v>
      </c>
      <c r="MF26" s="18">
        <v>158</v>
      </c>
      <c r="MG26" s="18">
        <v>185</v>
      </c>
      <c r="MH26" s="13">
        <v>173</v>
      </c>
      <c r="MI26" s="13">
        <v>182</v>
      </c>
      <c r="MJ26" s="13">
        <v>177</v>
      </c>
      <c r="MK26" s="13">
        <v>170</v>
      </c>
      <c r="ML26" s="13">
        <v>167</v>
      </c>
      <c r="MM26" s="13">
        <v>185</v>
      </c>
      <c r="MN26" s="13">
        <v>201</v>
      </c>
      <c r="MO26" s="13">
        <v>152</v>
      </c>
      <c r="MP26" s="13">
        <v>167</v>
      </c>
      <c r="MQ26" s="13"/>
      <c r="MR26" s="13"/>
      <c r="MS26" s="13">
        <v>203</v>
      </c>
      <c r="MT26" s="13">
        <v>236</v>
      </c>
      <c r="MU26" s="13">
        <v>135</v>
      </c>
      <c r="MV26" s="13">
        <v>171</v>
      </c>
      <c r="MW26" s="13">
        <v>171</v>
      </c>
      <c r="MX26" s="13">
        <v>212</v>
      </c>
      <c r="MY26" s="13">
        <v>190</v>
      </c>
      <c r="MZ26" s="13">
        <v>211</v>
      </c>
      <c r="NA26" s="13">
        <v>193</v>
      </c>
      <c r="NB26" s="13">
        <v>167</v>
      </c>
      <c r="NC26" s="321">
        <v>234</v>
      </c>
      <c r="ND26" s="13">
        <v>183</v>
      </c>
      <c r="NE26" s="13">
        <v>167</v>
      </c>
      <c r="NF26" s="13">
        <v>195</v>
      </c>
      <c r="NG26" s="13">
        <v>181</v>
      </c>
      <c r="NH26" s="13">
        <v>186</v>
      </c>
      <c r="NI26" s="13">
        <v>197</v>
      </c>
      <c r="NJ26" s="13">
        <v>217</v>
      </c>
      <c r="NK26" s="13">
        <v>153</v>
      </c>
      <c r="NL26" s="13">
        <v>210</v>
      </c>
      <c r="NM26" s="13">
        <v>191</v>
      </c>
      <c r="NN26" s="13">
        <v>178</v>
      </c>
      <c r="NO26" s="13">
        <v>160</v>
      </c>
      <c r="NP26" s="13">
        <v>166</v>
      </c>
      <c r="NQ26" s="13">
        <v>154</v>
      </c>
      <c r="NR26" s="13">
        <v>190</v>
      </c>
      <c r="NS26" s="13">
        <v>179</v>
      </c>
      <c r="NT26" s="13">
        <v>205</v>
      </c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8"/>
      <c r="OK26" s="36">
        <f>SUM(OG26:OI26)</f>
        <v>0</v>
      </c>
      <c r="OL26" s="10">
        <f>IFERROR(AVERAGE(OG26:OI26),0)</f>
        <v>0</v>
      </c>
      <c r="OM26" s="10">
        <f>IFERROR(SUM(IY26:MQ26)/COUNTIF(IY26:MQ26, "&gt;0"),0)</f>
        <v>178.14814814814815</v>
      </c>
      <c r="ON26" s="10">
        <f>IFERROR(SUM(MS26:OJ26)/COUNTIF(MS26:OJ26, "&gt;0"),0)</f>
        <v>186.96428571428572</v>
      </c>
      <c r="OO26" s="10">
        <f t="shared" si="7"/>
        <v>178.86956521739131</v>
      </c>
    </row>
    <row r="27" spans="1:412" hidden="1">
      <c r="A27" s="438" t="s">
        <v>396</v>
      </c>
      <c r="B27" s="438" t="s">
        <v>193</v>
      </c>
      <c r="C27" s="374"/>
      <c r="D27" s="374"/>
      <c r="E27" s="374"/>
      <c r="F27" s="374"/>
      <c r="G27" s="374"/>
      <c r="H27" s="374"/>
      <c r="I27" s="374"/>
      <c r="J27" s="374"/>
      <c r="K27" s="374"/>
      <c r="L27" s="438"/>
      <c r="M27" s="438"/>
      <c r="N27" s="438"/>
      <c r="O27" s="438"/>
      <c r="P27" s="438"/>
      <c r="Q27" s="438"/>
      <c r="R27" s="438"/>
      <c r="S27" s="438"/>
      <c r="T27" s="438"/>
      <c r="U27" s="438"/>
      <c r="V27" s="438"/>
      <c r="W27" s="438"/>
      <c r="X27" s="438"/>
      <c r="Y27" s="438"/>
      <c r="Z27" s="438"/>
      <c r="AA27" s="438"/>
      <c r="AB27" s="438"/>
      <c r="AC27" s="438"/>
      <c r="AD27" s="438"/>
      <c r="AE27" s="438"/>
      <c r="AF27" s="438"/>
      <c r="AG27" s="438"/>
      <c r="AH27" s="438"/>
      <c r="AI27" s="438"/>
      <c r="AJ27" s="438"/>
      <c r="AK27" s="438"/>
      <c r="AL27" s="438"/>
      <c r="AM27" s="438"/>
      <c r="AN27" s="438"/>
      <c r="AO27" s="438"/>
      <c r="AP27" s="438"/>
      <c r="AQ27" s="438"/>
      <c r="AR27" s="438"/>
      <c r="AS27" s="438"/>
      <c r="AT27" s="438"/>
      <c r="AU27" s="438"/>
      <c r="AV27" s="438"/>
      <c r="AW27" s="438"/>
      <c r="AX27" s="438"/>
      <c r="AY27" s="438"/>
      <c r="AZ27" s="438"/>
      <c r="BA27" s="438"/>
      <c r="BB27" s="438"/>
      <c r="BC27" s="438"/>
      <c r="BD27" s="438"/>
      <c r="BE27" s="438"/>
      <c r="BF27" s="438"/>
      <c r="BG27" s="438"/>
      <c r="BH27" s="438"/>
      <c r="BI27" s="438"/>
      <c r="BJ27" s="438"/>
      <c r="BK27" s="438"/>
      <c r="BL27" s="438"/>
      <c r="BM27" s="438"/>
      <c r="BN27" s="438"/>
      <c r="BO27" s="438"/>
      <c r="BP27" s="438"/>
      <c r="BQ27" s="438"/>
      <c r="BR27" s="438"/>
      <c r="BS27" s="438"/>
      <c r="BT27" s="438"/>
      <c r="BU27" s="438"/>
      <c r="BV27" s="438"/>
      <c r="BW27" s="438"/>
      <c r="BX27" s="438"/>
      <c r="BY27" s="438"/>
      <c r="BZ27" s="438"/>
      <c r="CA27" s="438"/>
      <c r="CB27" s="438"/>
      <c r="CC27" s="438"/>
      <c r="CD27" s="438"/>
      <c r="CE27" s="438"/>
      <c r="CF27" s="438"/>
      <c r="CG27" s="438"/>
      <c r="CH27" s="438"/>
      <c r="CI27" s="438"/>
      <c r="CJ27" s="438"/>
      <c r="CK27" s="438"/>
      <c r="CL27" s="438"/>
      <c r="CM27" s="438"/>
      <c r="CN27" s="438"/>
      <c r="CO27" s="438"/>
      <c r="CP27" s="438"/>
      <c r="CQ27" s="438"/>
      <c r="CR27" s="438"/>
      <c r="CS27" s="438"/>
      <c r="CT27" s="438"/>
      <c r="CU27" s="438"/>
      <c r="CV27" s="438"/>
      <c r="CW27" s="438"/>
      <c r="CX27" s="438"/>
      <c r="CY27" s="438"/>
      <c r="CZ27" s="438"/>
      <c r="DA27" s="438"/>
      <c r="DB27" s="438"/>
      <c r="DC27" s="438"/>
      <c r="DD27" s="438"/>
      <c r="DE27" s="438"/>
      <c r="DF27" s="438"/>
      <c r="DG27" s="438"/>
      <c r="DH27" s="438"/>
      <c r="DI27" s="438"/>
      <c r="DJ27" s="438"/>
      <c r="DK27" s="438"/>
      <c r="DL27" s="438"/>
      <c r="DM27" s="438"/>
      <c r="DN27" s="438"/>
      <c r="DO27" s="438"/>
      <c r="DP27" s="438"/>
      <c r="DQ27" s="438"/>
      <c r="DR27" s="438"/>
      <c r="DS27" s="438"/>
      <c r="DT27" s="438"/>
      <c r="DU27" s="438"/>
      <c r="DV27" s="438"/>
      <c r="DW27" s="438"/>
      <c r="DX27" s="438"/>
      <c r="DY27" s="438"/>
      <c r="DZ27" s="438"/>
      <c r="EA27" s="438"/>
      <c r="EB27" s="438"/>
      <c r="EC27" s="438"/>
      <c r="ED27" s="438"/>
      <c r="EE27" s="438"/>
      <c r="EF27" s="438"/>
      <c r="EG27" s="438"/>
      <c r="EH27" s="438"/>
      <c r="EI27" s="438"/>
      <c r="EJ27" s="438"/>
      <c r="EK27" s="438"/>
      <c r="EL27" s="438"/>
      <c r="EM27" s="438"/>
      <c r="EN27" s="438"/>
      <c r="EO27" s="438"/>
      <c r="EP27" s="438"/>
      <c r="EQ27" s="438"/>
      <c r="ER27" s="438"/>
      <c r="ES27" s="438"/>
      <c r="ET27" s="438"/>
      <c r="EU27" s="438"/>
      <c r="EV27" s="438"/>
      <c r="EW27" s="438"/>
      <c r="EX27" s="438"/>
      <c r="EY27" s="438"/>
      <c r="EZ27" s="438"/>
      <c r="FA27" s="438"/>
      <c r="FB27" s="438"/>
      <c r="FC27" s="438"/>
      <c r="FD27" s="438"/>
      <c r="FE27" s="438"/>
      <c r="FF27" s="438"/>
      <c r="FG27" s="438"/>
      <c r="FH27" s="438"/>
      <c r="FI27" s="438"/>
      <c r="FJ27" s="438"/>
      <c r="FK27" s="438"/>
      <c r="FL27" s="438"/>
      <c r="FM27" s="438"/>
      <c r="FN27" s="438"/>
      <c r="FO27" s="438"/>
      <c r="FP27" s="438"/>
      <c r="FQ27" s="438"/>
      <c r="FR27" s="438"/>
      <c r="FS27" s="438"/>
      <c r="FT27" s="438"/>
      <c r="FU27" s="438"/>
      <c r="FV27" s="438"/>
      <c r="FW27" s="438"/>
      <c r="FX27" s="438"/>
      <c r="FY27" s="438"/>
      <c r="FZ27" s="438"/>
      <c r="GA27" s="438"/>
      <c r="GB27" s="438"/>
      <c r="GC27" s="438"/>
      <c r="GD27" s="438"/>
      <c r="GE27" s="438"/>
      <c r="GF27" s="438"/>
      <c r="GG27" s="438"/>
      <c r="GH27" s="438"/>
      <c r="GI27" s="438"/>
      <c r="GJ27" s="438"/>
      <c r="GK27" s="438"/>
      <c r="GL27" s="438"/>
      <c r="GM27" s="438"/>
      <c r="GN27" s="438"/>
      <c r="GO27" s="438"/>
      <c r="GP27" s="438"/>
      <c r="GQ27" s="438"/>
      <c r="GR27" s="438"/>
      <c r="GS27" s="438"/>
      <c r="GT27" s="438"/>
      <c r="GU27" s="438"/>
      <c r="GV27" s="438"/>
      <c r="GW27" s="438"/>
      <c r="GX27" s="438"/>
      <c r="GY27" s="438"/>
      <c r="GZ27" s="438"/>
      <c r="HA27" s="438"/>
      <c r="HB27" s="438"/>
      <c r="HC27" s="438"/>
      <c r="HD27" s="438"/>
      <c r="HE27" s="438"/>
      <c r="HF27" s="438"/>
      <c r="HG27" s="438"/>
      <c r="HH27" s="438"/>
      <c r="HI27" s="438"/>
      <c r="HJ27" s="438"/>
      <c r="HK27" s="438"/>
      <c r="HL27" s="438"/>
      <c r="HM27" s="438"/>
      <c r="HN27" s="438"/>
      <c r="HO27" s="438"/>
      <c r="HP27" s="438"/>
      <c r="HQ27" s="438"/>
      <c r="HR27" s="438"/>
      <c r="HS27" s="438"/>
      <c r="HT27" s="438"/>
      <c r="HU27" s="438"/>
      <c r="HV27" s="438"/>
      <c r="HW27" s="438"/>
      <c r="HX27" s="438"/>
      <c r="HY27" s="438"/>
      <c r="HZ27" s="438"/>
      <c r="IA27" s="438"/>
      <c r="IB27" s="438"/>
      <c r="IC27" s="438"/>
      <c r="ID27" s="438"/>
      <c r="IE27" s="438"/>
      <c r="IF27" s="438"/>
      <c r="IG27" s="438"/>
      <c r="IH27" s="438"/>
      <c r="II27" s="438"/>
      <c r="IJ27" s="438"/>
      <c r="IK27" s="438"/>
      <c r="IL27" s="438"/>
      <c r="IM27" s="438"/>
      <c r="IN27" s="438"/>
      <c r="IO27" s="438"/>
      <c r="IP27" s="438"/>
      <c r="IQ27" s="438"/>
      <c r="IR27" s="438"/>
      <c r="IS27" s="438"/>
      <c r="IT27" s="438"/>
      <c r="IU27" s="438"/>
      <c r="IV27" s="438"/>
      <c r="IW27" s="438"/>
      <c r="IX27" s="438"/>
      <c r="IY27" s="438"/>
      <c r="IZ27" s="438"/>
      <c r="JA27" s="438"/>
      <c r="JB27" s="438"/>
      <c r="JC27" s="438"/>
      <c r="JD27" s="438"/>
      <c r="JE27" s="438"/>
      <c r="JF27" s="438"/>
      <c r="JG27" s="438"/>
      <c r="JH27" s="438"/>
      <c r="JI27" s="438"/>
      <c r="JJ27" s="438"/>
      <c r="JK27" s="438"/>
      <c r="JL27" s="438"/>
      <c r="JM27" s="438"/>
      <c r="JN27" s="438"/>
      <c r="JO27" s="438"/>
      <c r="JP27" s="438"/>
      <c r="JQ27" s="438"/>
      <c r="JR27" s="438"/>
      <c r="JS27" s="438"/>
      <c r="JT27" s="438"/>
      <c r="JU27" s="438"/>
      <c r="JV27" s="438"/>
      <c r="JW27" s="438"/>
      <c r="JX27" s="438"/>
      <c r="JY27" s="438"/>
      <c r="JZ27" s="438"/>
      <c r="KA27" s="438"/>
      <c r="KB27" s="438"/>
      <c r="KC27" s="438"/>
      <c r="KD27" s="438"/>
      <c r="KE27" s="438"/>
      <c r="KF27" s="438"/>
      <c r="KG27" s="438"/>
      <c r="KH27" s="438"/>
      <c r="KI27" s="438"/>
      <c r="KJ27" s="438"/>
      <c r="KK27" s="438"/>
      <c r="KL27" s="438"/>
      <c r="KM27" s="438"/>
      <c r="KN27" s="438"/>
      <c r="KO27" s="438"/>
      <c r="KP27" s="438"/>
      <c r="KQ27" s="438"/>
      <c r="KR27" s="438"/>
      <c r="KS27" s="438"/>
      <c r="KT27" s="438"/>
      <c r="KU27" s="438"/>
      <c r="KV27" s="438"/>
      <c r="KW27" s="438"/>
      <c r="KX27" s="438"/>
      <c r="KY27" s="438"/>
      <c r="KZ27" s="438"/>
      <c r="LA27" s="438"/>
      <c r="LB27" s="438"/>
      <c r="LC27" s="438"/>
      <c r="LD27" s="438"/>
      <c r="LE27" s="438"/>
      <c r="LF27" s="438"/>
      <c r="LG27" s="438"/>
      <c r="LH27" s="438"/>
      <c r="LI27" s="438"/>
      <c r="LJ27" s="438"/>
      <c r="LK27" s="438"/>
      <c r="LL27" s="438"/>
      <c r="LM27" s="438"/>
      <c r="LN27" s="438"/>
      <c r="LO27" s="438"/>
      <c r="LP27" s="438"/>
      <c r="LQ27" s="438"/>
      <c r="LR27" s="438"/>
      <c r="LS27" s="438"/>
      <c r="LT27" s="438"/>
      <c r="LU27" s="438"/>
      <c r="LV27" s="438"/>
      <c r="LW27" s="438"/>
      <c r="LX27" s="438"/>
      <c r="LY27" s="438"/>
      <c r="LZ27" s="438"/>
      <c r="MA27" s="438"/>
      <c r="MB27" s="438"/>
      <c r="MC27" s="438"/>
      <c r="MD27" s="438"/>
      <c r="ME27" s="438"/>
      <c r="MF27" s="438"/>
      <c r="MG27" s="438"/>
      <c r="MH27" s="438"/>
      <c r="MI27" s="438"/>
      <c r="MJ27" s="438"/>
      <c r="MK27" s="438"/>
      <c r="ML27" s="438"/>
      <c r="MM27" s="438"/>
      <c r="MN27" s="438"/>
      <c r="MO27" s="438"/>
      <c r="MP27" s="438"/>
      <c r="MQ27" s="438"/>
      <c r="MR27" s="438"/>
      <c r="MS27" s="438"/>
      <c r="MT27" s="438"/>
      <c r="MU27" s="438"/>
      <c r="MV27" s="438"/>
      <c r="MW27" s="438"/>
      <c r="MX27" s="438"/>
      <c r="MY27" s="438"/>
      <c r="MZ27" s="438"/>
      <c r="NA27" s="438"/>
      <c r="NB27" s="438"/>
      <c r="NC27" s="438"/>
      <c r="ND27" s="438"/>
      <c r="NE27" s="438"/>
      <c r="NF27" s="438"/>
      <c r="NG27" s="438"/>
      <c r="NH27" s="438"/>
      <c r="NI27" s="13">
        <v>41</v>
      </c>
      <c r="NJ27" s="13">
        <v>57</v>
      </c>
      <c r="NK27" s="13">
        <v>82</v>
      </c>
      <c r="NL27" s="13">
        <v>64</v>
      </c>
      <c r="NM27" s="13">
        <v>32</v>
      </c>
      <c r="NN27" s="13">
        <v>44</v>
      </c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438"/>
      <c r="OK27" s="36">
        <f>SUM(NU27:NW27)</f>
        <v>0</v>
      </c>
      <c r="OL27" s="10">
        <f>IFERROR(AVERAGE(NU27:NW27),0)</f>
        <v>0</v>
      </c>
      <c r="OM27" s="10">
        <f>IFERROR(SUM(IY27:MQ27)/COUNTIF(IY27:MQ27, "&gt;0"),0)</f>
        <v>0</v>
      </c>
      <c r="ON27" s="10">
        <f>IFERROR(SUM(MS27:OJ27)/COUNTIF(MS27:OJ27, "&gt;0"),0)</f>
        <v>53.333333333333336</v>
      </c>
      <c r="OO27" s="10">
        <f t="shared" si="7"/>
        <v>53.333333333333336</v>
      </c>
    </row>
    <row r="28" spans="1:412" ht="16.5" customHeight="1">
      <c r="A28" s="8" t="s">
        <v>38</v>
      </c>
      <c r="B28" s="8" t="str">
        <f>VLOOKUP(A28,'미니게임_DATA(순)'!$A$4:$B$60,2,0)</f>
        <v>Y</v>
      </c>
      <c r="C28" s="13">
        <v>149</v>
      </c>
      <c r="D28" s="13">
        <v>124</v>
      </c>
      <c r="E28" s="13">
        <v>110</v>
      </c>
      <c r="F28" s="13"/>
      <c r="G28" s="13"/>
      <c r="H28" s="13"/>
      <c r="I28" s="13">
        <v>142</v>
      </c>
      <c r="J28" s="13">
        <v>158</v>
      </c>
      <c r="K28" s="13">
        <v>146</v>
      </c>
      <c r="L28" s="18"/>
      <c r="M28" s="18"/>
      <c r="N28" s="18"/>
      <c r="O28" s="18"/>
      <c r="P28" s="18"/>
      <c r="Q28" s="18"/>
      <c r="R28" s="18"/>
      <c r="S28" s="18"/>
      <c r="T28" s="18"/>
      <c r="U28" s="18">
        <v>143</v>
      </c>
      <c r="V28" s="18">
        <v>139</v>
      </c>
      <c r="W28" s="18">
        <v>132</v>
      </c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>
        <v>142</v>
      </c>
      <c r="DF28" s="18">
        <v>131</v>
      </c>
      <c r="DG28" s="18">
        <v>138</v>
      </c>
      <c r="DH28" s="18">
        <v>147</v>
      </c>
      <c r="DI28" s="18">
        <v>121</v>
      </c>
      <c r="DJ28" s="18">
        <v>133</v>
      </c>
      <c r="DK28" s="18">
        <v>170</v>
      </c>
      <c r="DL28" s="18">
        <v>134</v>
      </c>
      <c r="DM28" s="18">
        <v>152</v>
      </c>
      <c r="DN28" s="18"/>
      <c r="DO28" s="18"/>
      <c r="DP28" s="18"/>
      <c r="DQ28" s="18"/>
      <c r="DR28" s="18"/>
      <c r="DS28" s="18"/>
      <c r="DT28" s="18"/>
      <c r="DU28" s="18"/>
      <c r="DV28" s="18">
        <v>190</v>
      </c>
      <c r="DW28" s="18">
        <v>135</v>
      </c>
      <c r="DX28" s="18">
        <v>110</v>
      </c>
      <c r="DY28" s="18">
        <v>137</v>
      </c>
      <c r="DZ28" s="18">
        <v>130</v>
      </c>
      <c r="EA28" s="18"/>
      <c r="EB28" s="18"/>
      <c r="EC28" s="18"/>
      <c r="ED28" s="18">
        <v>148</v>
      </c>
      <c r="EE28" s="20">
        <v>212</v>
      </c>
      <c r="EF28" s="20">
        <v>212</v>
      </c>
      <c r="EG28" s="18">
        <v>140</v>
      </c>
      <c r="EH28" s="18">
        <v>125</v>
      </c>
      <c r="EI28" s="18">
        <v>144</v>
      </c>
      <c r="EJ28" s="18">
        <v>146</v>
      </c>
      <c r="EK28" s="18">
        <v>130</v>
      </c>
      <c r="EL28" s="18">
        <v>166</v>
      </c>
      <c r="EM28" s="18">
        <v>196</v>
      </c>
      <c r="EN28" s="18">
        <v>132</v>
      </c>
      <c r="EO28" s="18"/>
      <c r="EP28" s="18"/>
      <c r="EQ28" s="18"/>
      <c r="ER28" s="18"/>
      <c r="ES28" s="18"/>
      <c r="ET28" s="18">
        <v>155</v>
      </c>
      <c r="EU28" s="18">
        <v>179</v>
      </c>
      <c r="EV28" s="18">
        <v>167</v>
      </c>
      <c r="EW28" s="18"/>
      <c r="EX28" s="18"/>
      <c r="EY28" s="18"/>
      <c r="EZ28" s="18"/>
      <c r="FA28" s="18"/>
      <c r="FB28" s="18"/>
      <c r="FC28" s="18">
        <v>136</v>
      </c>
      <c r="FD28" s="18">
        <v>128</v>
      </c>
      <c r="FE28" s="18"/>
      <c r="FF28" s="18"/>
      <c r="FG28" s="18"/>
      <c r="FH28" s="18">
        <v>160</v>
      </c>
      <c r="FI28" s="18">
        <v>138</v>
      </c>
      <c r="FJ28" s="18">
        <v>169</v>
      </c>
      <c r="FK28" s="18"/>
      <c r="FL28" s="18"/>
      <c r="FM28" s="18"/>
      <c r="FN28" s="18"/>
      <c r="FO28" s="18"/>
      <c r="FP28" s="18"/>
      <c r="FQ28" s="18"/>
      <c r="FR28" s="18"/>
      <c r="FS28" s="18">
        <v>150</v>
      </c>
      <c r="FT28" s="18">
        <v>126</v>
      </c>
      <c r="FU28" s="18">
        <v>166</v>
      </c>
      <c r="FV28" s="18"/>
      <c r="FW28" s="18"/>
      <c r="FX28" s="18"/>
      <c r="FY28" s="18"/>
      <c r="FZ28" s="18"/>
      <c r="GA28" s="18"/>
      <c r="GB28" s="18"/>
      <c r="GC28" s="18">
        <v>176</v>
      </c>
      <c r="GD28" s="18">
        <v>155</v>
      </c>
      <c r="GE28" s="18">
        <v>187</v>
      </c>
      <c r="GF28" s="20">
        <v>202</v>
      </c>
      <c r="GG28" s="18">
        <v>191</v>
      </c>
      <c r="GH28" s="18">
        <v>183</v>
      </c>
      <c r="GI28" s="18"/>
      <c r="GJ28" s="18"/>
      <c r="GK28" s="18"/>
      <c r="GL28" s="18"/>
      <c r="GM28" s="18"/>
      <c r="GN28" s="18"/>
      <c r="GO28" s="18">
        <v>165</v>
      </c>
      <c r="GP28" s="18">
        <v>135</v>
      </c>
      <c r="GQ28" s="18">
        <v>150</v>
      </c>
      <c r="GR28" s="18">
        <v>159</v>
      </c>
      <c r="GS28" s="19">
        <v>201</v>
      </c>
      <c r="GT28" s="18">
        <v>152</v>
      </c>
      <c r="GU28" s="18"/>
      <c r="GV28" s="18"/>
      <c r="GW28" s="18"/>
      <c r="GX28" s="18">
        <v>162</v>
      </c>
      <c r="GY28" s="18">
        <v>143</v>
      </c>
      <c r="GZ28" s="18">
        <v>171</v>
      </c>
      <c r="HA28" s="18">
        <v>122</v>
      </c>
      <c r="HB28" s="18">
        <v>137</v>
      </c>
      <c r="HC28" s="18">
        <v>145</v>
      </c>
      <c r="HD28" s="18">
        <v>131</v>
      </c>
      <c r="HE28" s="18">
        <v>123</v>
      </c>
      <c r="HF28" s="18">
        <v>161</v>
      </c>
      <c r="HG28" s="18"/>
      <c r="HH28" s="18"/>
      <c r="HI28" s="18"/>
      <c r="HJ28" s="18">
        <v>166</v>
      </c>
      <c r="HK28" s="18">
        <v>136</v>
      </c>
      <c r="HL28" s="18">
        <v>143</v>
      </c>
      <c r="HM28" s="18">
        <v>148</v>
      </c>
      <c r="HN28" s="18">
        <v>158</v>
      </c>
      <c r="HO28" s="18">
        <v>166</v>
      </c>
      <c r="HP28" s="18">
        <v>170</v>
      </c>
      <c r="HQ28" s="18">
        <v>198</v>
      </c>
      <c r="HR28" s="18">
        <v>146</v>
      </c>
      <c r="HS28" s="18"/>
      <c r="HT28" s="18"/>
      <c r="HU28" s="18"/>
      <c r="HV28" s="18"/>
      <c r="HW28" s="18"/>
      <c r="HX28" s="18"/>
      <c r="HY28" s="28">
        <v>113</v>
      </c>
      <c r="HZ28" s="28">
        <v>200</v>
      </c>
      <c r="IA28" s="28">
        <v>154</v>
      </c>
      <c r="IB28" s="18"/>
      <c r="IC28" s="18"/>
      <c r="ID28" s="18"/>
      <c r="IE28" s="18"/>
      <c r="IF28" s="18"/>
      <c r="IG28" s="18"/>
      <c r="IH28" s="18"/>
      <c r="II28" s="18"/>
      <c r="IJ28" s="18"/>
      <c r="IK28" s="18">
        <v>224</v>
      </c>
      <c r="IL28" s="18">
        <v>181</v>
      </c>
      <c r="IM28" s="18">
        <v>177</v>
      </c>
      <c r="IN28" s="18">
        <v>169</v>
      </c>
      <c r="IO28" s="18">
        <v>145</v>
      </c>
      <c r="IP28" s="18">
        <v>147</v>
      </c>
      <c r="IQ28" s="18"/>
      <c r="IR28" s="18"/>
      <c r="IS28" s="18"/>
      <c r="IT28" s="18"/>
      <c r="IU28" s="18"/>
      <c r="IV28" s="18"/>
      <c r="IW28" s="18"/>
      <c r="IX28" s="18"/>
      <c r="IY28" s="18">
        <v>178</v>
      </c>
      <c r="IZ28" s="18">
        <v>182</v>
      </c>
      <c r="JA28" s="18">
        <v>133</v>
      </c>
      <c r="JB28" s="18">
        <v>157</v>
      </c>
      <c r="JC28" s="18">
        <v>177</v>
      </c>
      <c r="JD28" s="18">
        <v>201</v>
      </c>
      <c r="JE28" s="18"/>
      <c r="JF28" s="18"/>
      <c r="JG28" s="18"/>
      <c r="JH28" s="8">
        <v>145</v>
      </c>
      <c r="JI28" s="8">
        <v>161</v>
      </c>
      <c r="JJ28" s="8">
        <v>192</v>
      </c>
      <c r="JK28" s="8"/>
      <c r="JL28" s="8"/>
      <c r="JM28" s="8"/>
      <c r="JN28" s="8">
        <v>173</v>
      </c>
      <c r="JO28" s="8">
        <v>179</v>
      </c>
      <c r="JP28" s="8">
        <v>139</v>
      </c>
      <c r="JQ28" s="8"/>
      <c r="JR28" s="8"/>
      <c r="JS28" s="8"/>
      <c r="JT28" s="8">
        <v>160</v>
      </c>
      <c r="JU28" s="8">
        <v>195</v>
      </c>
      <c r="JV28" s="8">
        <v>179</v>
      </c>
      <c r="JW28" s="8"/>
      <c r="JX28" s="8"/>
      <c r="JY28" s="8"/>
      <c r="JZ28" s="8"/>
      <c r="KA28" s="8"/>
      <c r="KB28" s="8"/>
      <c r="KC28" s="8">
        <v>106</v>
      </c>
      <c r="KD28" s="8">
        <v>175</v>
      </c>
      <c r="KE28" s="8">
        <v>161</v>
      </c>
      <c r="KF28" s="8">
        <v>133</v>
      </c>
      <c r="KG28" s="8">
        <v>166</v>
      </c>
      <c r="KH28" s="8">
        <v>145</v>
      </c>
      <c r="KI28" s="8"/>
      <c r="KJ28" s="8"/>
      <c r="KK28" s="8"/>
      <c r="KL28" s="8">
        <v>183</v>
      </c>
      <c r="KM28" s="8">
        <v>154</v>
      </c>
      <c r="KN28" s="8">
        <v>167</v>
      </c>
      <c r="KO28" s="8">
        <v>168</v>
      </c>
      <c r="KP28" s="8">
        <v>137</v>
      </c>
      <c r="KQ28" s="8">
        <v>172</v>
      </c>
      <c r="KR28" s="8">
        <v>146</v>
      </c>
      <c r="KS28" s="8">
        <v>143</v>
      </c>
      <c r="KT28" s="8">
        <v>175</v>
      </c>
      <c r="KU28" s="8"/>
      <c r="KV28" s="8"/>
      <c r="KW28" s="8"/>
      <c r="KX28" s="8"/>
      <c r="KY28" s="8"/>
      <c r="KZ28" s="8"/>
      <c r="LA28" s="8">
        <v>146</v>
      </c>
      <c r="LB28" s="8">
        <v>167</v>
      </c>
      <c r="LC28" s="8">
        <v>159</v>
      </c>
      <c r="LD28" s="8">
        <v>120</v>
      </c>
      <c r="LE28" s="8">
        <v>158</v>
      </c>
      <c r="LF28" s="8">
        <v>156</v>
      </c>
      <c r="LG28" s="8"/>
      <c r="LH28" s="8"/>
      <c r="LI28" s="8"/>
      <c r="LJ28" s="8"/>
      <c r="LK28" s="8"/>
      <c r="LL28" s="8"/>
      <c r="LM28" s="8">
        <v>121</v>
      </c>
      <c r="LN28" s="8">
        <v>190</v>
      </c>
      <c r="LO28" s="8">
        <v>186</v>
      </c>
      <c r="LP28" s="8"/>
      <c r="LQ28" s="8"/>
      <c r="LR28" s="8"/>
      <c r="LS28" s="8"/>
      <c r="LT28" s="8"/>
      <c r="LU28" s="8"/>
      <c r="LV28" s="8">
        <v>183</v>
      </c>
      <c r="LW28" s="8">
        <v>163</v>
      </c>
      <c r="LX28" s="8">
        <v>183</v>
      </c>
      <c r="LY28" s="8"/>
      <c r="LZ28" s="8"/>
      <c r="MA28" s="8"/>
      <c r="MB28" s="8"/>
      <c r="MC28" s="8"/>
      <c r="MD28" s="8"/>
      <c r="ME28" s="8"/>
      <c r="MF28" s="8"/>
      <c r="MG28" s="8"/>
      <c r="MH28" s="13">
        <v>167</v>
      </c>
      <c r="MI28" s="13">
        <v>158</v>
      </c>
      <c r="MJ28" s="13">
        <v>149</v>
      </c>
      <c r="MK28" s="13"/>
      <c r="ML28" s="13"/>
      <c r="MM28" s="13"/>
      <c r="MN28" s="13">
        <v>165</v>
      </c>
      <c r="MO28" s="13">
        <v>136</v>
      </c>
      <c r="MP28" s="13">
        <v>183</v>
      </c>
      <c r="MQ28" s="13"/>
      <c r="MR28" s="13"/>
      <c r="MS28" s="13">
        <v>114</v>
      </c>
      <c r="MT28" s="13">
        <v>222</v>
      </c>
      <c r="MU28" s="13">
        <v>192</v>
      </c>
      <c r="MV28" s="13">
        <v>146</v>
      </c>
      <c r="MW28" s="13">
        <v>172</v>
      </c>
      <c r="MX28" s="13">
        <v>152</v>
      </c>
      <c r="MY28" s="13"/>
      <c r="MZ28" s="13"/>
      <c r="NA28" s="13"/>
      <c r="NB28" s="13"/>
      <c r="NC28" s="13"/>
      <c r="ND28" s="13"/>
      <c r="NE28" s="13"/>
      <c r="NF28" s="13"/>
      <c r="NG28" s="13"/>
      <c r="NH28" s="13"/>
      <c r="NI28" s="13"/>
      <c r="NJ28" s="13"/>
      <c r="NK28" s="13"/>
      <c r="NL28" s="13">
        <v>129</v>
      </c>
      <c r="NM28" s="13">
        <v>132</v>
      </c>
      <c r="NN28" s="13">
        <v>179</v>
      </c>
      <c r="NO28" s="13"/>
      <c r="NP28" s="13"/>
      <c r="NQ28" s="13"/>
      <c r="NR28" s="13"/>
      <c r="NS28" s="13">
        <v>166</v>
      </c>
      <c r="NT28" s="13">
        <v>204</v>
      </c>
      <c r="NU28" s="13"/>
      <c r="NV28" s="13"/>
      <c r="NW28" s="13"/>
      <c r="NX28" s="13"/>
      <c r="NY28" s="13"/>
      <c r="NZ28" s="13"/>
      <c r="OA28" s="13"/>
      <c r="OB28" s="13"/>
      <c r="OC28" s="13"/>
      <c r="OD28" s="13"/>
      <c r="OE28" s="13"/>
      <c r="OF28" s="13"/>
      <c r="OG28" s="13"/>
      <c r="OH28" s="13"/>
      <c r="OI28" s="13"/>
      <c r="OJ28" s="8"/>
      <c r="OK28" s="36">
        <f>SUM(OG28:OI28)</f>
        <v>0</v>
      </c>
      <c r="OL28" s="10">
        <f>IFERROR(AVERAGE(OG28:OI28),0)</f>
        <v>0</v>
      </c>
      <c r="OM28" s="10">
        <f>IFERROR(SUM(IY28:MQ28)/COUNTIF(IY28:MQ28, "&gt;0"),0)</f>
        <v>161.91666666666666</v>
      </c>
      <c r="ON28" s="10">
        <f>IFERROR(SUM(MS28:OJ28)/COUNTIF(MS28:OJ28, "&gt;0"),0)</f>
        <v>164.36363636363637</v>
      </c>
      <c r="OO28" s="10">
        <f t="shared" si="7"/>
        <v>157.41258741258741</v>
      </c>
    </row>
    <row r="29" spans="1:412" hidden="1">
      <c r="A29" s="438" t="s">
        <v>369</v>
      </c>
      <c r="B29" s="438" t="s">
        <v>193</v>
      </c>
      <c r="C29" s="374"/>
      <c r="D29" s="374"/>
      <c r="E29" s="374"/>
      <c r="F29" s="374"/>
      <c r="G29" s="374"/>
      <c r="H29" s="374"/>
      <c r="I29" s="374"/>
      <c r="J29" s="374"/>
      <c r="K29" s="374"/>
      <c r="L29" s="438"/>
      <c r="M29" s="438"/>
      <c r="N29" s="438"/>
      <c r="O29" s="438"/>
      <c r="P29" s="438"/>
      <c r="Q29" s="438"/>
      <c r="R29" s="438"/>
      <c r="S29" s="438"/>
      <c r="T29" s="438"/>
      <c r="U29" s="438"/>
      <c r="V29" s="438"/>
      <c r="W29" s="438"/>
      <c r="X29" s="438"/>
      <c r="Y29" s="438"/>
      <c r="Z29" s="438"/>
      <c r="AA29" s="438"/>
      <c r="AB29" s="438"/>
      <c r="AC29" s="438"/>
      <c r="AD29" s="438"/>
      <c r="AE29" s="438"/>
      <c r="AF29" s="438"/>
      <c r="AG29" s="438"/>
      <c r="AH29" s="438"/>
      <c r="AI29" s="438"/>
      <c r="AJ29" s="438"/>
      <c r="AK29" s="438"/>
      <c r="AL29" s="438"/>
      <c r="AM29" s="438"/>
      <c r="AN29" s="438"/>
      <c r="AO29" s="438"/>
      <c r="AP29" s="438"/>
      <c r="AQ29" s="438"/>
      <c r="AR29" s="438"/>
      <c r="AS29" s="438"/>
      <c r="AT29" s="438"/>
      <c r="AU29" s="438"/>
      <c r="AV29" s="438"/>
      <c r="AW29" s="438"/>
      <c r="AX29" s="438"/>
      <c r="AY29" s="438"/>
      <c r="AZ29" s="438"/>
      <c r="BA29" s="438"/>
      <c r="BB29" s="438"/>
      <c r="BC29" s="438"/>
      <c r="BD29" s="438"/>
      <c r="BE29" s="438"/>
      <c r="BF29" s="438"/>
      <c r="BG29" s="438"/>
      <c r="BH29" s="438"/>
      <c r="BI29" s="438"/>
      <c r="BJ29" s="438"/>
      <c r="BK29" s="438"/>
      <c r="BL29" s="438"/>
      <c r="BM29" s="438"/>
      <c r="BN29" s="438"/>
      <c r="BO29" s="438"/>
      <c r="BP29" s="438"/>
      <c r="BQ29" s="438"/>
      <c r="BR29" s="438"/>
      <c r="BS29" s="438"/>
      <c r="BT29" s="438"/>
      <c r="BU29" s="438"/>
      <c r="BV29" s="438"/>
      <c r="BW29" s="438"/>
      <c r="BX29" s="438"/>
      <c r="BY29" s="438"/>
      <c r="BZ29" s="438"/>
      <c r="CA29" s="438"/>
      <c r="CB29" s="438"/>
      <c r="CC29" s="438"/>
      <c r="CD29" s="438"/>
      <c r="CE29" s="438"/>
      <c r="CF29" s="438"/>
      <c r="CG29" s="438"/>
      <c r="CH29" s="438"/>
      <c r="CI29" s="438"/>
      <c r="CJ29" s="438"/>
      <c r="CK29" s="438"/>
      <c r="CL29" s="438"/>
      <c r="CM29" s="438"/>
      <c r="CN29" s="438"/>
      <c r="CO29" s="438"/>
      <c r="CP29" s="438"/>
      <c r="CQ29" s="438"/>
      <c r="CR29" s="438"/>
      <c r="CS29" s="438"/>
      <c r="CT29" s="438"/>
      <c r="CU29" s="438"/>
      <c r="CV29" s="438"/>
      <c r="CW29" s="438"/>
      <c r="CX29" s="438"/>
      <c r="CY29" s="438"/>
      <c r="CZ29" s="438"/>
      <c r="DA29" s="438"/>
      <c r="DB29" s="438"/>
      <c r="DC29" s="438"/>
      <c r="DD29" s="438"/>
      <c r="DE29" s="438"/>
      <c r="DF29" s="438"/>
      <c r="DG29" s="438"/>
      <c r="DH29" s="438"/>
      <c r="DI29" s="438"/>
      <c r="DJ29" s="438"/>
      <c r="DK29" s="438"/>
      <c r="DL29" s="438"/>
      <c r="DM29" s="438"/>
      <c r="DN29" s="438"/>
      <c r="DO29" s="438"/>
      <c r="DP29" s="438"/>
      <c r="DQ29" s="438"/>
      <c r="DR29" s="438"/>
      <c r="DS29" s="438"/>
      <c r="DT29" s="438"/>
      <c r="DU29" s="438"/>
      <c r="DV29" s="438"/>
      <c r="DW29" s="438"/>
      <c r="DX29" s="438"/>
      <c r="DY29" s="438"/>
      <c r="DZ29" s="438"/>
      <c r="EA29" s="438"/>
      <c r="EB29" s="438"/>
      <c r="EC29" s="438"/>
      <c r="ED29" s="438"/>
      <c r="EE29" s="438"/>
      <c r="EF29" s="438"/>
      <c r="EG29" s="438"/>
      <c r="EH29" s="438"/>
      <c r="EI29" s="438"/>
      <c r="EJ29" s="438"/>
      <c r="EK29" s="438"/>
      <c r="EL29" s="438"/>
      <c r="EM29" s="438"/>
      <c r="EN29" s="438"/>
      <c r="EO29" s="438"/>
      <c r="EP29" s="438"/>
      <c r="EQ29" s="438"/>
      <c r="ER29" s="438"/>
      <c r="ES29" s="438"/>
      <c r="ET29" s="438"/>
      <c r="EU29" s="438"/>
      <c r="EV29" s="438"/>
      <c r="EW29" s="438"/>
      <c r="EX29" s="438"/>
      <c r="EY29" s="438"/>
      <c r="EZ29" s="438"/>
      <c r="FA29" s="438"/>
      <c r="FB29" s="438"/>
      <c r="FC29" s="438"/>
      <c r="FD29" s="438"/>
      <c r="FE29" s="438"/>
      <c r="FF29" s="438"/>
      <c r="FG29" s="438"/>
      <c r="FH29" s="438"/>
      <c r="FI29" s="438"/>
      <c r="FJ29" s="438"/>
      <c r="FK29" s="438"/>
      <c r="FL29" s="438"/>
      <c r="FM29" s="438"/>
      <c r="FN29" s="438"/>
      <c r="FO29" s="438"/>
      <c r="FP29" s="438"/>
      <c r="FQ29" s="438"/>
      <c r="FR29" s="438"/>
      <c r="FS29" s="438"/>
      <c r="FT29" s="438"/>
      <c r="FU29" s="438"/>
      <c r="FV29" s="438"/>
      <c r="FW29" s="438"/>
      <c r="FX29" s="438"/>
      <c r="FY29" s="438"/>
      <c r="FZ29" s="438"/>
      <c r="GA29" s="438"/>
      <c r="GB29" s="438"/>
      <c r="GC29" s="438"/>
      <c r="GD29" s="438"/>
      <c r="GE29" s="438"/>
      <c r="GF29" s="438"/>
      <c r="GG29" s="438"/>
      <c r="GH29" s="438"/>
      <c r="GI29" s="438"/>
      <c r="GJ29" s="438"/>
      <c r="GK29" s="438"/>
      <c r="GL29" s="438"/>
      <c r="GM29" s="438"/>
      <c r="GN29" s="438"/>
      <c r="GO29" s="438"/>
      <c r="GP29" s="438"/>
      <c r="GQ29" s="438"/>
      <c r="GR29" s="438"/>
      <c r="GS29" s="438"/>
      <c r="GT29" s="438"/>
      <c r="GU29" s="438"/>
      <c r="GV29" s="438"/>
      <c r="GW29" s="438"/>
      <c r="GX29" s="438"/>
      <c r="GY29" s="438"/>
      <c r="GZ29" s="438"/>
      <c r="HA29" s="438"/>
      <c r="HB29" s="438"/>
      <c r="HC29" s="438"/>
      <c r="HD29" s="438"/>
      <c r="HE29" s="438"/>
      <c r="HF29" s="438"/>
      <c r="HG29" s="438"/>
      <c r="HH29" s="438"/>
      <c r="HI29" s="438"/>
      <c r="HJ29" s="438"/>
      <c r="HK29" s="438"/>
      <c r="HL29" s="438"/>
      <c r="HM29" s="438"/>
      <c r="HN29" s="438"/>
      <c r="HO29" s="438"/>
      <c r="HP29" s="438"/>
      <c r="HQ29" s="438"/>
      <c r="HR29" s="438"/>
      <c r="HS29" s="438"/>
      <c r="HT29" s="438"/>
      <c r="HU29" s="438"/>
      <c r="HV29" s="438"/>
      <c r="HW29" s="438"/>
      <c r="HX29" s="438"/>
      <c r="HY29" s="438"/>
      <c r="HZ29" s="438"/>
      <c r="IA29" s="438"/>
      <c r="IB29" s="438"/>
      <c r="IC29" s="438"/>
      <c r="ID29" s="438"/>
      <c r="IE29" s="438"/>
      <c r="IF29" s="438"/>
      <c r="IG29" s="438"/>
      <c r="IH29" s="438"/>
      <c r="II29" s="438"/>
      <c r="IJ29" s="438"/>
      <c r="IK29" s="438"/>
      <c r="IL29" s="438"/>
      <c r="IM29" s="438"/>
      <c r="IN29" s="438"/>
      <c r="IO29" s="438"/>
      <c r="IP29" s="438"/>
      <c r="IQ29" s="438"/>
      <c r="IR29" s="438"/>
      <c r="IS29" s="438"/>
      <c r="IT29" s="438"/>
      <c r="IU29" s="438"/>
      <c r="IV29" s="438"/>
      <c r="IW29" s="438"/>
      <c r="IX29" s="438"/>
      <c r="IY29" s="438"/>
      <c r="IZ29" s="438"/>
      <c r="JA29" s="438"/>
      <c r="JB29" s="438"/>
      <c r="JC29" s="438"/>
      <c r="JD29" s="438"/>
      <c r="JE29" s="438"/>
      <c r="JF29" s="438"/>
      <c r="JG29" s="438"/>
      <c r="JH29" s="438"/>
      <c r="JI29" s="438"/>
      <c r="JJ29" s="438"/>
      <c r="JK29" s="438"/>
      <c r="JL29" s="438"/>
      <c r="JM29" s="438"/>
      <c r="JN29" s="438"/>
      <c r="JO29" s="438"/>
      <c r="JP29" s="438"/>
      <c r="JQ29" s="438"/>
      <c r="JR29" s="438"/>
      <c r="JS29" s="438"/>
      <c r="JT29" s="438"/>
      <c r="JU29" s="438"/>
      <c r="JV29" s="438"/>
      <c r="JW29" s="438"/>
      <c r="JX29" s="438"/>
      <c r="JY29" s="438"/>
      <c r="JZ29" s="438"/>
      <c r="KA29" s="438"/>
      <c r="KB29" s="438"/>
      <c r="KC29" s="438"/>
      <c r="KD29" s="438"/>
      <c r="KE29" s="438"/>
      <c r="KF29" s="438"/>
      <c r="KG29" s="438"/>
      <c r="KH29" s="438"/>
      <c r="KI29" s="438"/>
      <c r="KJ29" s="438"/>
      <c r="KK29" s="438"/>
      <c r="KL29" s="438"/>
      <c r="KM29" s="438"/>
      <c r="KN29" s="438"/>
      <c r="KO29" s="438"/>
      <c r="KP29" s="438"/>
      <c r="KQ29" s="438"/>
      <c r="KR29" s="438"/>
      <c r="KS29" s="438"/>
      <c r="KT29" s="438"/>
      <c r="KU29" s="438"/>
      <c r="KV29" s="438"/>
      <c r="KW29" s="438"/>
      <c r="KX29" s="438"/>
      <c r="KY29" s="438"/>
      <c r="KZ29" s="438"/>
      <c r="LA29" s="438"/>
      <c r="LB29" s="438"/>
      <c r="LC29" s="438"/>
      <c r="LD29" s="438"/>
      <c r="LE29" s="438"/>
      <c r="LF29" s="438"/>
      <c r="LG29" s="438"/>
      <c r="LH29" s="438"/>
      <c r="LI29" s="438"/>
      <c r="LJ29" s="438"/>
      <c r="LK29" s="438"/>
      <c r="LL29" s="438"/>
      <c r="LM29" s="438"/>
      <c r="LN29" s="438"/>
      <c r="LO29" s="438"/>
      <c r="LP29" s="438"/>
      <c r="LQ29" s="438"/>
      <c r="LR29" s="438"/>
      <c r="LS29" s="438"/>
      <c r="LT29" s="438"/>
      <c r="LU29" s="438"/>
      <c r="LV29" s="438"/>
      <c r="LW29" s="438"/>
      <c r="LX29" s="438"/>
      <c r="LY29" s="438"/>
      <c r="LZ29" s="438"/>
      <c r="MA29" s="438"/>
      <c r="MB29" s="438"/>
      <c r="MC29" s="438"/>
      <c r="MD29" s="438"/>
      <c r="ME29" s="438"/>
      <c r="MF29" s="438"/>
      <c r="MG29" s="438"/>
      <c r="MH29" s="438"/>
      <c r="MI29" s="438"/>
      <c r="MJ29" s="438"/>
      <c r="MK29" s="438"/>
      <c r="ML29" s="438"/>
      <c r="MM29" s="438"/>
      <c r="MN29" s="438"/>
      <c r="MO29" s="438"/>
      <c r="MP29" s="438"/>
      <c r="MQ29" s="438"/>
      <c r="MR29" s="438"/>
      <c r="MS29" s="438"/>
      <c r="MT29" s="438"/>
      <c r="MU29" s="438"/>
      <c r="MV29" s="438"/>
      <c r="MW29" s="438"/>
      <c r="MX29" s="438"/>
      <c r="MY29" s="438"/>
      <c r="MZ29" s="438"/>
      <c r="NA29" s="438"/>
      <c r="NB29" s="438"/>
      <c r="NC29" s="438"/>
      <c r="ND29" s="438"/>
      <c r="NE29" s="438"/>
      <c r="NF29" s="438"/>
      <c r="NG29" s="13">
        <v>48</v>
      </c>
      <c r="NH29" s="13">
        <v>49</v>
      </c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438"/>
      <c r="OK29" s="36">
        <f>SUM(NU29:NW29)</f>
        <v>0</v>
      </c>
      <c r="OL29" s="10">
        <f>IFERROR(AVERAGE(NU29:NW29),0)</f>
        <v>0</v>
      </c>
      <c r="OM29" s="10">
        <f>IFERROR(SUM(IY29:MQ29)/COUNTIF(IY29:MQ29, "&gt;0"),0)</f>
        <v>0</v>
      </c>
      <c r="ON29" s="10">
        <f>IFERROR(SUM(MS29:OJ29)/COUNTIF(MS29:OJ29, "&gt;0"),0)</f>
        <v>48.5</v>
      </c>
      <c r="OO29" s="10">
        <f t="shared" si="7"/>
        <v>48.5</v>
      </c>
    </row>
    <row r="30" spans="1:412">
      <c r="A30" s="454" t="s">
        <v>343</v>
      </c>
      <c r="B30" s="8" t="str">
        <f>VLOOKUP(A30,'미니게임_DATA(순)'!$A$4:$B$48,2,0)</f>
        <v>Y</v>
      </c>
      <c r="C30" s="374"/>
      <c r="D30" s="374"/>
      <c r="E30" s="374"/>
      <c r="F30" s="374"/>
      <c r="G30" s="374"/>
      <c r="H30" s="374"/>
      <c r="I30" s="374"/>
      <c r="J30" s="374"/>
      <c r="K30" s="374"/>
      <c r="L30" s="454"/>
      <c r="M30" s="454"/>
      <c r="N30" s="454"/>
      <c r="O30" s="454"/>
      <c r="P30" s="454"/>
      <c r="Q30" s="454"/>
      <c r="R30" s="454"/>
      <c r="S30" s="454"/>
      <c r="T30" s="454"/>
      <c r="U30" s="454"/>
      <c r="V30" s="454"/>
      <c r="W30" s="454"/>
      <c r="X30" s="454"/>
      <c r="Y30" s="454"/>
      <c r="Z30" s="454"/>
      <c r="AA30" s="454"/>
      <c r="AB30" s="454"/>
      <c r="AC30" s="454"/>
      <c r="AD30" s="454"/>
      <c r="AE30" s="454"/>
      <c r="AF30" s="454"/>
      <c r="AG30" s="454"/>
      <c r="AH30" s="454"/>
      <c r="AI30" s="454"/>
      <c r="AJ30" s="454"/>
      <c r="AK30" s="454"/>
      <c r="AL30" s="454"/>
      <c r="AM30" s="454"/>
      <c r="AN30" s="454"/>
      <c r="AO30" s="454"/>
      <c r="AP30" s="454"/>
      <c r="AQ30" s="454"/>
      <c r="AR30" s="454"/>
      <c r="AS30" s="454"/>
      <c r="AT30" s="454"/>
      <c r="AU30" s="454"/>
      <c r="AV30" s="454"/>
      <c r="AW30" s="454"/>
      <c r="AX30" s="454"/>
      <c r="AY30" s="454"/>
      <c r="AZ30" s="454"/>
      <c r="BA30" s="454"/>
      <c r="BB30" s="454"/>
      <c r="BC30" s="454"/>
      <c r="BD30" s="454"/>
      <c r="BE30" s="454"/>
      <c r="BF30" s="454"/>
      <c r="BG30" s="454"/>
      <c r="BH30" s="454"/>
      <c r="BI30" s="454"/>
      <c r="BJ30" s="454"/>
      <c r="BK30" s="454"/>
      <c r="BL30" s="454"/>
      <c r="BM30" s="454"/>
      <c r="BN30" s="454"/>
      <c r="BO30" s="454"/>
      <c r="BP30" s="454"/>
      <c r="BQ30" s="454"/>
      <c r="BR30" s="454"/>
      <c r="BS30" s="454"/>
      <c r="BT30" s="454"/>
      <c r="BU30" s="454"/>
      <c r="BV30" s="454"/>
      <c r="BW30" s="454"/>
      <c r="BX30" s="454"/>
      <c r="BY30" s="454"/>
      <c r="BZ30" s="454"/>
      <c r="CA30" s="454"/>
      <c r="CB30" s="454"/>
      <c r="CC30" s="454"/>
      <c r="CD30" s="454"/>
      <c r="CE30" s="454"/>
      <c r="CF30" s="454"/>
      <c r="CG30" s="454"/>
      <c r="CH30" s="454"/>
      <c r="CI30" s="454"/>
      <c r="CJ30" s="454"/>
      <c r="CK30" s="454"/>
      <c r="CL30" s="454"/>
      <c r="CM30" s="454"/>
      <c r="CN30" s="454"/>
      <c r="CO30" s="454"/>
      <c r="CP30" s="454"/>
      <c r="CQ30" s="454"/>
      <c r="CR30" s="454"/>
      <c r="CS30" s="454"/>
      <c r="CT30" s="454"/>
      <c r="CU30" s="454"/>
      <c r="CV30" s="454"/>
      <c r="CW30" s="454"/>
      <c r="CX30" s="454"/>
      <c r="CY30" s="454"/>
      <c r="CZ30" s="454"/>
      <c r="DA30" s="454"/>
      <c r="DB30" s="454"/>
      <c r="DC30" s="454"/>
      <c r="DD30" s="454"/>
      <c r="DE30" s="454"/>
      <c r="DF30" s="454"/>
      <c r="DG30" s="454"/>
      <c r="DH30" s="454"/>
      <c r="DI30" s="454"/>
      <c r="DJ30" s="454"/>
      <c r="DK30" s="454"/>
      <c r="DL30" s="454"/>
      <c r="DM30" s="454"/>
      <c r="DN30" s="454"/>
      <c r="DO30" s="454"/>
      <c r="DP30" s="454"/>
      <c r="DQ30" s="454"/>
      <c r="DR30" s="454"/>
      <c r="DS30" s="454"/>
      <c r="DT30" s="454"/>
      <c r="DU30" s="454"/>
      <c r="DV30" s="454"/>
      <c r="DW30" s="454"/>
      <c r="DX30" s="454"/>
      <c r="DY30" s="454"/>
      <c r="DZ30" s="454"/>
      <c r="EA30" s="454"/>
      <c r="EB30" s="454"/>
      <c r="EC30" s="454"/>
      <c r="ED30" s="454"/>
      <c r="EE30" s="454"/>
      <c r="EF30" s="454"/>
      <c r="EG30" s="454"/>
      <c r="EH30" s="454"/>
      <c r="EI30" s="454"/>
      <c r="EJ30" s="454"/>
      <c r="EK30" s="454"/>
      <c r="EL30" s="454"/>
      <c r="EM30" s="454"/>
      <c r="EN30" s="454"/>
      <c r="EO30" s="454"/>
      <c r="EP30" s="454"/>
      <c r="EQ30" s="454"/>
      <c r="ER30" s="454"/>
      <c r="ES30" s="454"/>
      <c r="ET30" s="454"/>
      <c r="EU30" s="454"/>
      <c r="EV30" s="454"/>
      <c r="EW30" s="454"/>
      <c r="EX30" s="454"/>
      <c r="EY30" s="454"/>
      <c r="EZ30" s="454"/>
      <c r="FA30" s="454"/>
      <c r="FB30" s="454"/>
      <c r="FC30" s="454"/>
      <c r="FD30" s="454"/>
      <c r="FE30" s="454"/>
      <c r="FF30" s="454"/>
      <c r="FG30" s="454"/>
      <c r="FH30" s="454"/>
      <c r="FI30" s="454"/>
      <c r="FJ30" s="454"/>
      <c r="FK30" s="454"/>
      <c r="FL30" s="454"/>
      <c r="FM30" s="454"/>
      <c r="FN30" s="454"/>
      <c r="FO30" s="454"/>
      <c r="FP30" s="454"/>
      <c r="FQ30" s="454"/>
      <c r="FR30" s="454"/>
      <c r="FS30" s="454"/>
      <c r="FT30" s="454"/>
      <c r="FU30" s="454"/>
      <c r="FV30" s="454"/>
      <c r="FW30" s="454"/>
      <c r="FX30" s="454"/>
      <c r="FY30" s="454"/>
      <c r="FZ30" s="454"/>
      <c r="GA30" s="454"/>
      <c r="GB30" s="454"/>
      <c r="GC30" s="454"/>
      <c r="GD30" s="454"/>
      <c r="GE30" s="454"/>
      <c r="GF30" s="454"/>
      <c r="GG30" s="454"/>
      <c r="GH30" s="454"/>
      <c r="GI30" s="454"/>
      <c r="GJ30" s="454"/>
      <c r="GK30" s="454"/>
      <c r="GL30" s="454"/>
      <c r="GM30" s="454"/>
      <c r="GN30" s="454"/>
      <c r="GO30" s="454"/>
      <c r="GP30" s="454"/>
      <c r="GQ30" s="454"/>
      <c r="GR30" s="454"/>
      <c r="GS30" s="454"/>
      <c r="GT30" s="454"/>
      <c r="GU30" s="454"/>
      <c r="GV30" s="454"/>
      <c r="GW30" s="454"/>
      <c r="GX30" s="454"/>
      <c r="GY30" s="454"/>
      <c r="GZ30" s="454"/>
      <c r="HA30" s="454"/>
      <c r="HB30" s="454"/>
      <c r="HC30" s="454"/>
      <c r="HD30" s="454"/>
      <c r="HE30" s="454"/>
      <c r="HF30" s="454"/>
      <c r="HG30" s="454"/>
      <c r="HH30" s="454"/>
      <c r="HI30" s="454"/>
      <c r="HJ30" s="454"/>
      <c r="HK30" s="454"/>
      <c r="HL30" s="454"/>
      <c r="HM30" s="454"/>
      <c r="HN30" s="454"/>
      <c r="HO30" s="454"/>
      <c r="HP30" s="454"/>
      <c r="HQ30" s="454"/>
      <c r="HR30" s="454"/>
      <c r="HS30" s="454"/>
      <c r="HT30" s="454"/>
      <c r="HU30" s="454"/>
      <c r="HV30" s="454"/>
      <c r="HW30" s="454"/>
      <c r="HX30" s="454"/>
      <c r="HY30" s="454"/>
      <c r="HZ30" s="454"/>
      <c r="IA30" s="454"/>
      <c r="IB30" s="454"/>
      <c r="IC30" s="454"/>
      <c r="ID30" s="454"/>
      <c r="IE30" s="454"/>
      <c r="IF30" s="454"/>
      <c r="IG30" s="454"/>
      <c r="IH30" s="454"/>
      <c r="II30" s="454"/>
      <c r="IJ30" s="454"/>
      <c r="IK30" s="454"/>
      <c r="IL30" s="454"/>
      <c r="IM30" s="454"/>
      <c r="IN30" s="454"/>
      <c r="IO30" s="454"/>
      <c r="IP30" s="454"/>
      <c r="IQ30" s="454"/>
      <c r="IR30" s="454"/>
      <c r="IS30" s="454"/>
      <c r="IT30" s="454"/>
      <c r="IU30" s="454"/>
      <c r="IV30" s="454"/>
      <c r="IW30" s="454"/>
      <c r="IX30" s="454"/>
      <c r="IY30" s="454"/>
      <c r="IZ30" s="454"/>
      <c r="JA30" s="454"/>
      <c r="JB30" s="454"/>
      <c r="JC30" s="454"/>
      <c r="JD30" s="454"/>
      <c r="JE30" s="454"/>
      <c r="JF30" s="454"/>
      <c r="JG30" s="454"/>
      <c r="JH30" s="454"/>
      <c r="JI30" s="454"/>
      <c r="JJ30" s="454"/>
      <c r="JK30" s="454"/>
      <c r="JL30" s="454"/>
      <c r="JM30" s="454"/>
      <c r="JN30" s="454"/>
      <c r="JO30" s="454"/>
      <c r="JP30" s="454"/>
      <c r="JQ30" s="454"/>
      <c r="JR30" s="454"/>
      <c r="JS30" s="454"/>
      <c r="JT30" s="454"/>
      <c r="JU30" s="454"/>
      <c r="JV30" s="454"/>
      <c r="JW30" s="454"/>
      <c r="JX30" s="454"/>
      <c r="JY30" s="454"/>
      <c r="JZ30" s="454"/>
      <c r="KA30" s="454"/>
      <c r="KB30" s="454"/>
      <c r="KC30" s="454"/>
      <c r="KD30" s="454"/>
      <c r="KE30" s="454"/>
      <c r="KF30" s="454"/>
      <c r="KG30" s="454"/>
      <c r="KH30" s="454"/>
      <c r="KI30" s="454"/>
      <c r="KJ30" s="454"/>
      <c r="KK30" s="454"/>
      <c r="KL30" s="454"/>
      <c r="KM30" s="454"/>
      <c r="KN30" s="454"/>
      <c r="KO30" s="454"/>
      <c r="KP30" s="454"/>
      <c r="KQ30" s="454"/>
      <c r="KR30" s="454"/>
      <c r="KS30" s="454"/>
      <c r="KT30" s="454"/>
      <c r="KU30" s="454"/>
      <c r="KV30" s="454"/>
      <c r="KW30" s="454"/>
      <c r="KX30" s="454"/>
      <c r="KY30" s="454"/>
      <c r="KZ30" s="454"/>
      <c r="LA30" s="454"/>
      <c r="LB30" s="454"/>
      <c r="LC30" s="454"/>
      <c r="LD30" s="454"/>
      <c r="LE30" s="454"/>
      <c r="LF30" s="454"/>
      <c r="LG30" s="454"/>
      <c r="LH30" s="454"/>
      <c r="LI30" s="454"/>
      <c r="LJ30" s="454"/>
      <c r="LK30" s="454"/>
      <c r="LL30" s="454"/>
      <c r="LM30" s="454"/>
      <c r="LN30" s="454"/>
      <c r="LO30" s="454"/>
      <c r="LP30" s="454"/>
      <c r="LQ30" s="454"/>
      <c r="LR30" s="454"/>
      <c r="LS30" s="454"/>
      <c r="LT30" s="454"/>
      <c r="LU30" s="454"/>
      <c r="LV30" s="454"/>
      <c r="LW30" s="454"/>
      <c r="LX30" s="454"/>
      <c r="LY30" s="454"/>
      <c r="LZ30" s="454"/>
      <c r="MA30" s="454"/>
      <c r="MB30" s="454"/>
      <c r="MC30" s="454"/>
      <c r="MD30" s="454"/>
      <c r="ME30" s="454"/>
      <c r="MF30" s="454"/>
      <c r="MG30" s="454"/>
      <c r="MH30" s="454"/>
      <c r="MI30" s="454"/>
      <c r="MJ30" s="454"/>
      <c r="MK30" s="454"/>
      <c r="ML30" s="454"/>
      <c r="MM30" s="454"/>
      <c r="MN30" s="454"/>
      <c r="MO30" s="454"/>
      <c r="MP30" s="454"/>
      <c r="MQ30" s="454"/>
      <c r="MR30" s="454"/>
      <c r="MS30" s="454"/>
      <c r="MT30" s="454"/>
      <c r="MU30" s="454"/>
      <c r="MV30" s="454"/>
      <c r="MW30" s="454"/>
      <c r="MX30" s="454"/>
      <c r="MY30" s="454"/>
      <c r="MZ30" s="454"/>
      <c r="NA30" s="454"/>
      <c r="NB30" s="13"/>
      <c r="NC30" s="13"/>
      <c r="ND30" s="13"/>
      <c r="NE30" s="13"/>
      <c r="NF30" s="13">
        <v>123</v>
      </c>
      <c r="NG30" s="13">
        <v>109</v>
      </c>
      <c r="NH30" s="13">
        <v>112</v>
      </c>
      <c r="NI30" s="13">
        <v>94</v>
      </c>
      <c r="NJ30" s="13">
        <v>101</v>
      </c>
      <c r="NK30" s="13">
        <v>168</v>
      </c>
      <c r="NL30" s="13"/>
      <c r="NM30" s="13"/>
      <c r="NN30" s="13"/>
      <c r="NO30" s="13">
        <v>66</v>
      </c>
      <c r="NP30" s="13">
        <v>70</v>
      </c>
      <c r="NQ30" s="13">
        <v>91</v>
      </c>
      <c r="NR30" s="13"/>
      <c r="NS30" s="13"/>
      <c r="NT30" s="13"/>
      <c r="NU30" s="13"/>
      <c r="NV30" s="13"/>
      <c r="NW30" s="13"/>
      <c r="NX30" s="13"/>
      <c r="NY30" s="13"/>
      <c r="NZ30" s="13"/>
      <c r="OA30" s="13"/>
      <c r="OB30" s="13"/>
      <c r="OC30" s="13"/>
      <c r="OD30" s="13"/>
      <c r="OE30" s="13"/>
      <c r="OF30" s="13"/>
      <c r="OG30" s="13"/>
      <c r="OH30" s="13"/>
      <c r="OI30" s="13"/>
      <c r="OJ30" s="8"/>
      <c r="OK30" s="36">
        <f>SUM(OG30:OI30)</f>
        <v>0</v>
      </c>
      <c r="OL30" s="10">
        <f>IFERROR(AVERAGE(OG30:OI30),0)</f>
        <v>0</v>
      </c>
      <c r="OM30" s="10">
        <f>IFERROR(SUM(IY30:MQ30)/COUNTIF(IY30:MQ30, "&gt;0"),0)</f>
        <v>0</v>
      </c>
      <c r="ON30" s="10">
        <f>IFERROR(SUM(MS30:OJ30)/COUNTIF(MS30:OJ30, "&gt;0"),0)</f>
        <v>103.77777777777777</v>
      </c>
      <c r="OO30" s="10">
        <f>IFERROR(SUM(A30:OJ30)/COUNTIF(A30:OJ30,"&gt;0"),0)</f>
        <v>103.77777777777777</v>
      </c>
    </row>
    <row r="31" spans="1:412" hidden="1">
      <c r="A31" s="8" t="s">
        <v>29</v>
      </c>
      <c r="B31" s="8" t="str">
        <f>VLOOKUP(A31,'미니게임_DATA(순)'!$A$4:$B$48,2,0)</f>
        <v>N</v>
      </c>
      <c r="C31" s="13"/>
      <c r="D31" s="13"/>
      <c r="E31" s="13"/>
      <c r="F31" s="13"/>
      <c r="G31" s="13"/>
      <c r="H31" s="13"/>
      <c r="I31" s="13"/>
      <c r="J31" s="13"/>
      <c r="K31" s="13"/>
      <c r="L31" s="18"/>
      <c r="M31" s="18"/>
      <c r="N31" s="20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>
        <v>54</v>
      </c>
      <c r="HE31" s="18">
        <v>69</v>
      </c>
      <c r="HF31" s="18">
        <v>92</v>
      </c>
      <c r="HG31" s="18"/>
      <c r="HH31" s="18"/>
      <c r="HI31" s="18"/>
      <c r="HJ31" s="18">
        <v>88</v>
      </c>
      <c r="HK31" s="18">
        <v>73</v>
      </c>
      <c r="HL31" s="18">
        <v>81</v>
      </c>
      <c r="HM31" s="18"/>
      <c r="HN31" s="18"/>
      <c r="HO31" s="18"/>
      <c r="HP31" s="18"/>
      <c r="HQ31" s="18"/>
      <c r="HR31" s="18"/>
      <c r="HS31" s="18"/>
      <c r="HT31" s="18"/>
      <c r="HU31" s="18"/>
      <c r="HV31" s="18">
        <v>63</v>
      </c>
      <c r="HW31" s="18">
        <v>111</v>
      </c>
      <c r="HX31" s="18">
        <v>92</v>
      </c>
      <c r="HY31" s="28">
        <v>94</v>
      </c>
      <c r="HZ31" s="28">
        <v>72</v>
      </c>
      <c r="IA31" s="28">
        <v>106</v>
      </c>
      <c r="IB31" s="18">
        <v>79</v>
      </c>
      <c r="IC31" s="18">
        <v>110</v>
      </c>
      <c r="ID31" s="18">
        <v>112</v>
      </c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  <c r="JC31" s="18"/>
      <c r="JD31" s="18"/>
      <c r="JE31" s="18"/>
      <c r="JF31" s="18"/>
      <c r="JG31" s="1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36">
        <f>SUM(NU31:NW31)</f>
        <v>0</v>
      </c>
      <c r="OL31" s="10">
        <f>IFERROR(AVERAGE(NU31:NW31),0)</f>
        <v>0</v>
      </c>
      <c r="OM31" s="10">
        <f>IFERROR(SUM(IY31:OJ31)/COUNTIF(IY31:OJ31, "&gt;0"),0)</f>
        <v>0</v>
      </c>
      <c r="ON31" s="10"/>
      <c r="OO31" s="10">
        <f t="shared" ref="OO31:OO50" si="8">SUM(A31:OJ31)/COUNTIF(A31:OJ31,"&gt;0")</f>
        <v>86.4</v>
      </c>
    </row>
    <row r="32" spans="1:412" hidden="1">
      <c r="A32" s="8" t="s">
        <v>33</v>
      </c>
      <c r="B32" s="8" t="str">
        <f>VLOOKUP(A32,'미니게임_DATA(순)'!$A$4:$B$48,2,0)</f>
        <v>N</v>
      </c>
      <c r="C32" s="13"/>
      <c r="D32" s="13"/>
      <c r="E32" s="13"/>
      <c r="F32" s="13"/>
      <c r="G32" s="13"/>
      <c r="H32" s="13"/>
      <c r="I32" s="13">
        <v>123</v>
      </c>
      <c r="J32" s="13">
        <v>82</v>
      </c>
      <c r="K32" s="13">
        <v>114</v>
      </c>
      <c r="L32" s="18"/>
      <c r="M32" s="18"/>
      <c r="N32" s="18"/>
      <c r="O32" s="18">
        <v>115</v>
      </c>
      <c r="P32" s="18"/>
      <c r="Q32" s="18"/>
      <c r="R32" s="18"/>
      <c r="S32" s="18"/>
      <c r="T32" s="18"/>
      <c r="U32" s="18">
        <v>105</v>
      </c>
      <c r="V32" s="18">
        <v>110</v>
      </c>
      <c r="W32" s="18">
        <v>97</v>
      </c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>
        <v>126</v>
      </c>
      <c r="BI32" s="18">
        <v>133</v>
      </c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>
        <v>106</v>
      </c>
      <c r="BX32" s="18">
        <v>132</v>
      </c>
      <c r="BY32" s="18">
        <v>155</v>
      </c>
      <c r="BZ32" s="18"/>
      <c r="CA32" s="18"/>
      <c r="CB32" s="18"/>
      <c r="CC32" s="18"/>
      <c r="CD32" s="18"/>
      <c r="CE32" s="18"/>
      <c r="CF32" s="18"/>
      <c r="CG32" s="18"/>
      <c r="CH32" s="18">
        <v>131</v>
      </c>
      <c r="CI32" s="18">
        <v>135</v>
      </c>
      <c r="CJ32" s="18">
        <v>136</v>
      </c>
      <c r="CK32" s="18"/>
      <c r="CL32" s="18"/>
      <c r="CM32" s="18"/>
      <c r="CN32" s="18"/>
      <c r="CO32" s="18"/>
      <c r="CP32" s="18"/>
      <c r="CQ32" s="18"/>
      <c r="CR32" s="18"/>
      <c r="CS32" s="18">
        <v>131</v>
      </c>
      <c r="CT32" s="25">
        <v>173</v>
      </c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>
        <v>105</v>
      </c>
      <c r="DY32" s="18">
        <v>123</v>
      </c>
      <c r="DZ32" s="18">
        <v>157</v>
      </c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>
        <v>119</v>
      </c>
      <c r="HB32" s="18">
        <v>102</v>
      </c>
      <c r="HC32" s="18">
        <v>111</v>
      </c>
      <c r="HD32" s="18"/>
      <c r="HE32" s="18"/>
      <c r="HF32" s="18"/>
      <c r="HG32" s="18"/>
      <c r="HH32" s="18"/>
      <c r="HI32" s="18"/>
      <c r="HJ32" s="18"/>
      <c r="HK32" s="18"/>
      <c r="HL32" s="18"/>
      <c r="HM32" s="18">
        <v>124</v>
      </c>
      <c r="HN32" s="18">
        <v>92</v>
      </c>
      <c r="HO32" s="18">
        <v>112</v>
      </c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  <c r="IY32" s="18"/>
      <c r="IZ32" s="18"/>
      <c r="JA32" s="18"/>
      <c r="JB32" s="18"/>
      <c r="JC32" s="18"/>
      <c r="JD32" s="18"/>
      <c r="JE32" s="18"/>
      <c r="JF32" s="18"/>
      <c r="JG32" s="1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36">
        <f>SUM(NU32:NW32)</f>
        <v>0</v>
      </c>
      <c r="OL32" s="10">
        <f>IFERROR(AVERAGE(NU32:NW32),0)</f>
        <v>0</v>
      </c>
      <c r="OM32" s="10">
        <f>IFERROR(SUM(IY32:OJ32)/COUNTIF(IY32:OJ32, "&gt;0"),0)</f>
        <v>0</v>
      </c>
      <c r="ON32" s="10"/>
      <c r="OO32" s="10">
        <f t="shared" si="8"/>
        <v>121.11538461538461</v>
      </c>
    </row>
    <row r="33" spans="1:406" hidden="1">
      <c r="A33" s="8" t="s">
        <v>26</v>
      </c>
      <c r="B33" s="8" t="str">
        <f>VLOOKUP(A33,'미니게임_DATA(순)'!$A$4:$B$48,2,0)</f>
        <v>N</v>
      </c>
      <c r="C33" s="13"/>
      <c r="D33" s="13"/>
      <c r="E33" s="13"/>
      <c r="F33" s="13"/>
      <c r="G33" s="13"/>
      <c r="H33" s="13"/>
      <c r="I33" s="13"/>
      <c r="J33" s="13"/>
      <c r="K33" s="13"/>
      <c r="L33" s="18"/>
      <c r="M33" s="18"/>
      <c r="N33" s="20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>
        <v>46</v>
      </c>
      <c r="HE33" s="18">
        <v>77</v>
      </c>
      <c r="HF33" s="18">
        <v>84</v>
      </c>
      <c r="HG33" s="18"/>
      <c r="HH33" s="18">
        <v>93</v>
      </c>
      <c r="HI33" s="18">
        <v>61</v>
      </c>
      <c r="HJ33" s="18"/>
      <c r="HK33" s="18"/>
      <c r="HL33" s="18"/>
      <c r="HM33" s="18">
        <v>69</v>
      </c>
      <c r="HN33" s="18">
        <v>65</v>
      </c>
      <c r="HO33" s="18">
        <v>116</v>
      </c>
      <c r="HP33" s="18">
        <v>107</v>
      </c>
      <c r="HQ33" s="18">
        <v>82</v>
      </c>
      <c r="HR33" s="18">
        <v>101</v>
      </c>
      <c r="HS33" s="18"/>
      <c r="HT33" s="18"/>
      <c r="HU33" s="18"/>
      <c r="HV33" s="18"/>
      <c r="HW33" s="18">
        <v>88</v>
      </c>
      <c r="HX33" s="18">
        <v>68</v>
      </c>
      <c r="HY33" s="28">
        <v>87</v>
      </c>
      <c r="HZ33" s="28">
        <v>84</v>
      </c>
      <c r="IA33" s="28">
        <v>126</v>
      </c>
      <c r="IB33" s="18">
        <v>84</v>
      </c>
      <c r="IC33" s="18">
        <v>113</v>
      </c>
      <c r="ID33" s="18"/>
      <c r="IE33" s="18"/>
      <c r="IF33" s="18"/>
      <c r="IG33" s="18"/>
      <c r="IH33" s="18">
        <v>77</v>
      </c>
      <c r="II33" s="18">
        <v>104</v>
      </c>
      <c r="IJ33" s="18">
        <v>106</v>
      </c>
      <c r="IK33" s="18">
        <v>120</v>
      </c>
      <c r="IL33" s="18">
        <v>100</v>
      </c>
      <c r="IM33" s="18">
        <v>85</v>
      </c>
      <c r="IN33" s="18"/>
      <c r="IO33" s="18"/>
      <c r="IP33" s="18"/>
      <c r="IQ33" s="18"/>
      <c r="IR33" s="18"/>
      <c r="IS33" s="18"/>
      <c r="IT33" s="18"/>
      <c r="IU33" s="18"/>
      <c r="IV33" s="18"/>
      <c r="IW33" s="18"/>
      <c r="IX33" s="18"/>
      <c r="IY33" s="18"/>
      <c r="IZ33" s="18"/>
      <c r="JA33" s="18"/>
      <c r="JB33" s="18"/>
      <c r="JC33" s="18"/>
      <c r="JD33" s="18"/>
      <c r="JE33" s="18"/>
      <c r="JF33" s="18"/>
      <c r="JG33" s="18"/>
      <c r="JH33" s="8"/>
      <c r="JI33" s="8">
        <v>81</v>
      </c>
      <c r="JJ33" s="8">
        <v>135</v>
      </c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36">
        <f>SUM(NU33:NW33)</f>
        <v>0</v>
      </c>
      <c r="OL33" s="10">
        <f>IFERROR(AVERAGE(NU33:NW33),0)</f>
        <v>0</v>
      </c>
      <c r="OM33" s="10">
        <f>IFERROR(SUM(IY33:OJ33)/COUNTIF(IY33:OJ33, "&gt;0"),0)</f>
        <v>108</v>
      </c>
      <c r="ON33" s="10"/>
      <c r="OO33" s="10">
        <f t="shared" si="8"/>
        <v>90.730769230769226</v>
      </c>
    </row>
    <row r="34" spans="1:406">
      <c r="A34" s="454" t="s">
        <v>397</v>
      </c>
      <c r="B34" s="454" t="s">
        <v>398</v>
      </c>
      <c r="C34" s="374"/>
      <c r="D34" s="374"/>
      <c r="E34" s="374"/>
      <c r="F34" s="374"/>
      <c r="G34" s="374"/>
      <c r="H34" s="374"/>
      <c r="I34" s="374"/>
      <c r="J34" s="374"/>
      <c r="K34" s="374"/>
      <c r="L34" s="454"/>
      <c r="M34" s="454"/>
      <c r="N34" s="454"/>
      <c r="O34" s="454"/>
      <c r="P34" s="454"/>
      <c r="Q34" s="454"/>
      <c r="R34" s="454"/>
      <c r="S34" s="454"/>
      <c r="T34" s="454"/>
      <c r="U34" s="454"/>
      <c r="V34" s="454"/>
      <c r="W34" s="454"/>
      <c r="X34" s="454"/>
      <c r="Y34" s="454"/>
      <c r="Z34" s="454"/>
      <c r="AA34" s="454"/>
      <c r="AB34" s="454"/>
      <c r="AC34" s="454"/>
      <c r="AD34" s="454"/>
      <c r="AE34" s="454"/>
      <c r="AF34" s="454"/>
      <c r="AG34" s="454"/>
      <c r="AH34" s="454"/>
      <c r="AI34" s="454"/>
      <c r="AJ34" s="454"/>
      <c r="AK34" s="454"/>
      <c r="AL34" s="454"/>
      <c r="AM34" s="454"/>
      <c r="AN34" s="454"/>
      <c r="AO34" s="454"/>
      <c r="AP34" s="454"/>
      <c r="AQ34" s="454"/>
      <c r="AR34" s="454"/>
      <c r="AS34" s="454"/>
      <c r="AT34" s="454"/>
      <c r="AU34" s="454"/>
      <c r="AV34" s="454"/>
      <c r="AW34" s="454"/>
      <c r="AX34" s="454"/>
      <c r="AY34" s="454"/>
      <c r="AZ34" s="454"/>
      <c r="BA34" s="454"/>
      <c r="BB34" s="454"/>
      <c r="BC34" s="454"/>
      <c r="BD34" s="454"/>
      <c r="BE34" s="454"/>
      <c r="BF34" s="454"/>
      <c r="BG34" s="454"/>
      <c r="BH34" s="454"/>
      <c r="BI34" s="454"/>
      <c r="BJ34" s="454"/>
      <c r="BK34" s="454"/>
      <c r="BL34" s="454"/>
      <c r="BM34" s="454"/>
      <c r="BN34" s="454"/>
      <c r="BO34" s="454"/>
      <c r="BP34" s="454"/>
      <c r="BQ34" s="454"/>
      <c r="BR34" s="454"/>
      <c r="BS34" s="454"/>
      <c r="BT34" s="454"/>
      <c r="BU34" s="454"/>
      <c r="BV34" s="454"/>
      <c r="BW34" s="454"/>
      <c r="BX34" s="454"/>
      <c r="BY34" s="454"/>
      <c r="BZ34" s="454"/>
      <c r="CA34" s="454"/>
      <c r="CB34" s="454"/>
      <c r="CC34" s="454"/>
      <c r="CD34" s="454"/>
      <c r="CE34" s="454"/>
      <c r="CF34" s="454"/>
      <c r="CG34" s="454"/>
      <c r="CH34" s="454"/>
      <c r="CI34" s="454"/>
      <c r="CJ34" s="454"/>
      <c r="CK34" s="454"/>
      <c r="CL34" s="454"/>
      <c r="CM34" s="454"/>
      <c r="CN34" s="454"/>
      <c r="CO34" s="454"/>
      <c r="CP34" s="454"/>
      <c r="CQ34" s="454"/>
      <c r="CR34" s="454"/>
      <c r="CS34" s="454"/>
      <c r="CT34" s="454"/>
      <c r="CU34" s="454"/>
      <c r="CV34" s="454"/>
      <c r="CW34" s="454"/>
      <c r="CX34" s="454"/>
      <c r="CY34" s="454"/>
      <c r="CZ34" s="454"/>
      <c r="DA34" s="454"/>
      <c r="DB34" s="454"/>
      <c r="DC34" s="454"/>
      <c r="DD34" s="454"/>
      <c r="DE34" s="454"/>
      <c r="DF34" s="454"/>
      <c r="DG34" s="454"/>
      <c r="DH34" s="454"/>
      <c r="DI34" s="454"/>
      <c r="DJ34" s="454"/>
      <c r="DK34" s="454"/>
      <c r="DL34" s="454"/>
      <c r="DM34" s="454"/>
      <c r="DN34" s="454"/>
      <c r="DO34" s="454"/>
      <c r="DP34" s="454"/>
      <c r="DQ34" s="454"/>
      <c r="DR34" s="454"/>
      <c r="DS34" s="454"/>
      <c r="DT34" s="454"/>
      <c r="DU34" s="454"/>
      <c r="DV34" s="454"/>
      <c r="DW34" s="454"/>
      <c r="DX34" s="454"/>
      <c r="DY34" s="454"/>
      <c r="DZ34" s="454"/>
      <c r="EA34" s="454"/>
      <c r="EB34" s="454"/>
      <c r="EC34" s="454"/>
      <c r="ED34" s="454"/>
      <c r="EE34" s="454"/>
      <c r="EF34" s="454"/>
      <c r="EG34" s="454"/>
      <c r="EH34" s="454"/>
      <c r="EI34" s="454"/>
      <c r="EJ34" s="454"/>
      <c r="EK34" s="454"/>
      <c r="EL34" s="454"/>
      <c r="EM34" s="454"/>
      <c r="EN34" s="454"/>
      <c r="EO34" s="454"/>
      <c r="EP34" s="454"/>
      <c r="EQ34" s="454"/>
      <c r="ER34" s="454"/>
      <c r="ES34" s="454"/>
      <c r="ET34" s="454"/>
      <c r="EU34" s="454"/>
      <c r="EV34" s="454"/>
      <c r="EW34" s="454"/>
      <c r="EX34" s="454"/>
      <c r="EY34" s="454"/>
      <c r="EZ34" s="454"/>
      <c r="FA34" s="454"/>
      <c r="FB34" s="454"/>
      <c r="FC34" s="454"/>
      <c r="FD34" s="454"/>
      <c r="FE34" s="454"/>
      <c r="FF34" s="454"/>
      <c r="FG34" s="454"/>
      <c r="FH34" s="454"/>
      <c r="FI34" s="454"/>
      <c r="FJ34" s="454"/>
      <c r="FK34" s="454"/>
      <c r="FL34" s="454"/>
      <c r="FM34" s="454"/>
      <c r="FN34" s="454"/>
      <c r="FO34" s="454"/>
      <c r="FP34" s="454"/>
      <c r="FQ34" s="454"/>
      <c r="FR34" s="454"/>
      <c r="FS34" s="454"/>
      <c r="FT34" s="454"/>
      <c r="FU34" s="454"/>
      <c r="FV34" s="454"/>
      <c r="FW34" s="454"/>
      <c r="FX34" s="454"/>
      <c r="FY34" s="454"/>
      <c r="FZ34" s="454"/>
      <c r="GA34" s="454"/>
      <c r="GB34" s="454"/>
      <c r="GC34" s="454"/>
      <c r="GD34" s="454"/>
      <c r="GE34" s="454"/>
      <c r="GF34" s="454"/>
      <c r="GG34" s="454"/>
      <c r="GH34" s="454"/>
      <c r="GI34" s="454"/>
      <c r="GJ34" s="454"/>
      <c r="GK34" s="454"/>
      <c r="GL34" s="454"/>
      <c r="GM34" s="454"/>
      <c r="GN34" s="454"/>
      <c r="GO34" s="454"/>
      <c r="GP34" s="454"/>
      <c r="GQ34" s="454"/>
      <c r="GR34" s="454"/>
      <c r="GS34" s="454"/>
      <c r="GT34" s="454"/>
      <c r="GU34" s="454"/>
      <c r="GV34" s="454"/>
      <c r="GW34" s="454"/>
      <c r="GX34" s="454"/>
      <c r="GY34" s="454"/>
      <c r="GZ34" s="454"/>
      <c r="HA34" s="454"/>
      <c r="HB34" s="454"/>
      <c r="HC34" s="454"/>
      <c r="HD34" s="454"/>
      <c r="HE34" s="454"/>
      <c r="HF34" s="454"/>
      <c r="HG34" s="454"/>
      <c r="HH34" s="454"/>
      <c r="HI34" s="454"/>
      <c r="HJ34" s="454"/>
      <c r="HK34" s="454"/>
      <c r="HL34" s="454"/>
      <c r="HM34" s="454"/>
      <c r="HN34" s="454"/>
      <c r="HO34" s="454"/>
      <c r="HP34" s="454"/>
      <c r="HQ34" s="454"/>
      <c r="HR34" s="454"/>
      <c r="HS34" s="454"/>
      <c r="HT34" s="454"/>
      <c r="HU34" s="454"/>
      <c r="HV34" s="454"/>
      <c r="HW34" s="454"/>
      <c r="HX34" s="454"/>
      <c r="HY34" s="454"/>
      <c r="HZ34" s="454"/>
      <c r="IA34" s="454"/>
      <c r="IB34" s="454"/>
      <c r="IC34" s="454"/>
      <c r="ID34" s="454"/>
      <c r="IE34" s="454"/>
      <c r="IF34" s="454"/>
      <c r="IG34" s="454"/>
      <c r="IH34" s="454"/>
      <c r="II34" s="454"/>
      <c r="IJ34" s="454"/>
      <c r="IK34" s="454"/>
      <c r="IL34" s="454"/>
      <c r="IM34" s="454"/>
      <c r="IN34" s="454"/>
      <c r="IO34" s="454"/>
      <c r="IP34" s="454"/>
      <c r="IQ34" s="454"/>
      <c r="IR34" s="454"/>
      <c r="IS34" s="454"/>
      <c r="IT34" s="454"/>
      <c r="IU34" s="454"/>
      <c r="IV34" s="454"/>
      <c r="IW34" s="454"/>
      <c r="IX34" s="454"/>
      <c r="IY34" s="454"/>
      <c r="IZ34" s="454"/>
      <c r="JA34" s="454"/>
      <c r="JB34" s="454"/>
      <c r="JC34" s="454"/>
      <c r="JD34" s="454"/>
      <c r="JE34" s="454"/>
      <c r="JF34" s="454"/>
      <c r="JG34" s="454"/>
      <c r="JH34" s="454"/>
      <c r="JI34" s="454"/>
      <c r="JJ34" s="454"/>
      <c r="JK34" s="454"/>
      <c r="JL34" s="454"/>
      <c r="JM34" s="454"/>
      <c r="JN34" s="454"/>
      <c r="JO34" s="454"/>
      <c r="JP34" s="454"/>
      <c r="JQ34" s="454"/>
      <c r="JR34" s="454"/>
      <c r="JS34" s="454"/>
      <c r="JT34" s="454"/>
      <c r="JU34" s="454"/>
      <c r="JV34" s="454"/>
      <c r="JW34" s="454"/>
      <c r="JX34" s="454"/>
      <c r="JY34" s="454"/>
      <c r="JZ34" s="454"/>
      <c r="KA34" s="454"/>
      <c r="KB34" s="454"/>
      <c r="KC34" s="454"/>
      <c r="KD34" s="454"/>
      <c r="KE34" s="454"/>
      <c r="KF34" s="454"/>
      <c r="KG34" s="454"/>
      <c r="KH34" s="454"/>
      <c r="KI34" s="454"/>
      <c r="KJ34" s="454"/>
      <c r="KK34" s="454"/>
      <c r="KL34" s="454"/>
      <c r="KM34" s="454"/>
      <c r="KN34" s="454"/>
      <c r="KO34" s="454"/>
      <c r="KP34" s="454"/>
      <c r="KQ34" s="454"/>
      <c r="KR34" s="454"/>
      <c r="KS34" s="454"/>
      <c r="KT34" s="454"/>
      <c r="KU34" s="454"/>
      <c r="KV34" s="454"/>
      <c r="KW34" s="454"/>
      <c r="KX34" s="454"/>
      <c r="KY34" s="454"/>
      <c r="KZ34" s="454"/>
      <c r="LA34" s="454"/>
      <c r="LB34" s="454"/>
      <c r="LC34" s="454"/>
      <c r="LD34" s="454"/>
      <c r="LE34" s="454"/>
      <c r="LF34" s="454"/>
      <c r="LG34" s="454"/>
      <c r="LH34" s="454"/>
      <c r="LI34" s="454"/>
      <c r="LJ34" s="454"/>
      <c r="LK34" s="454"/>
      <c r="LL34" s="454"/>
      <c r="LM34" s="454"/>
      <c r="LN34" s="454"/>
      <c r="LO34" s="454"/>
      <c r="LP34" s="454"/>
      <c r="LQ34" s="454"/>
      <c r="LR34" s="454"/>
      <c r="LS34" s="454"/>
      <c r="LT34" s="454"/>
      <c r="LU34" s="454"/>
      <c r="LV34" s="454"/>
      <c r="LW34" s="454"/>
      <c r="LX34" s="454"/>
      <c r="LY34" s="454"/>
      <c r="LZ34" s="454"/>
      <c r="MA34" s="454"/>
      <c r="MB34" s="454"/>
      <c r="MC34" s="454"/>
      <c r="MD34" s="454"/>
      <c r="ME34" s="454"/>
      <c r="MF34" s="454"/>
      <c r="MG34" s="454"/>
      <c r="MH34" s="454"/>
      <c r="MI34" s="454"/>
      <c r="MJ34" s="454"/>
      <c r="MK34" s="454"/>
      <c r="ML34" s="454"/>
      <c r="MM34" s="454"/>
      <c r="MN34" s="454"/>
      <c r="MO34" s="454"/>
      <c r="MP34" s="454"/>
      <c r="MQ34" s="454"/>
      <c r="MR34" s="454"/>
      <c r="MS34" s="454"/>
      <c r="MT34" s="454"/>
      <c r="MU34" s="454"/>
      <c r="MV34" s="454"/>
      <c r="MW34" s="454"/>
      <c r="MX34" s="454"/>
      <c r="MY34" s="454"/>
      <c r="MZ34" s="454"/>
      <c r="NA34" s="454"/>
      <c r="NB34" s="454"/>
      <c r="NC34" s="454"/>
      <c r="ND34" s="454"/>
      <c r="NE34" s="454"/>
      <c r="NF34" s="454"/>
      <c r="NG34" s="454"/>
      <c r="NH34" s="454"/>
      <c r="NI34" s="13">
        <v>84</v>
      </c>
      <c r="NJ34" s="13">
        <v>73</v>
      </c>
      <c r="NK34" s="13">
        <v>96</v>
      </c>
      <c r="NL34" s="13">
        <v>76</v>
      </c>
      <c r="NM34" s="13">
        <v>101</v>
      </c>
      <c r="NN34" s="13">
        <v>85</v>
      </c>
      <c r="NO34" s="13">
        <v>69</v>
      </c>
      <c r="NP34" s="13">
        <v>74</v>
      </c>
      <c r="NQ34" s="13">
        <v>56</v>
      </c>
      <c r="NR34" s="13"/>
      <c r="NS34" s="13">
        <v>100</v>
      </c>
      <c r="NT34" s="13">
        <v>108</v>
      </c>
      <c r="NU34" s="13"/>
      <c r="NV34" s="13"/>
      <c r="NW34" s="13"/>
      <c r="NX34" s="13"/>
      <c r="NY34" s="13"/>
      <c r="NZ34" s="13"/>
      <c r="OA34" s="13"/>
      <c r="OB34" s="13"/>
      <c r="OC34" s="13"/>
      <c r="OD34" s="13"/>
      <c r="OE34" s="13"/>
      <c r="OF34" s="13"/>
      <c r="OG34" s="13"/>
      <c r="OH34" s="13"/>
      <c r="OI34" s="13"/>
      <c r="OJ34" s="454"/>
      <c r="OK34" s="36">
        <f>SUM(OG34:OI34)</f>
        <v>0</v>
      </c>
      <c r="OL34" s="10">
        <f>IFERROR(AVERAGE(OG34:OI34),0)</f>
        <v>0</v>
      </c>
      <c r="OM34" s="10">
        <f>IFERROR(SUM(IY34:MQ34)/COUNTIF(IY34:MQ34, "&gt;0"),0)</f>
        <v>0</v>
      </c>
      <c r="ON34" s="10">
        <f>IFERROR(SUM(MS34:OJ34)/COUNTIF(MS34:OJ34, "&gt;0"),0)</f>
        <v>83.818181818181813</v>
      </c>
      <c r="OO34" s="10">
        <f t="shared" si="8"/>
        <v>83.818181818181813</v>
      </c>
    </row>
    <row r="35" spans="1:406" hidden="1">
      <c r="A35" s="8" t="s">
        <v>41</v>
      </c>
      <c r="B35" s="8" t="str">
        <f>VLOOKUP(A35,'미니게임_DATA(순)'!$A$4:$B$60,2,0)</f>
        <v>N</v>
      </c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8"/>
      <c r="N35" s="20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>
        <v>101</v>
      </c>
      <c r="IR35" s="14">
        <v>114</v>
      </c>
      <c r="IS35" s="14">
        <v>54</v>
      </c>
      <c r="IT35" s="14">
        <v>110</v>
      </c>
      <c r="IU35" s="14">
        <v>130</v>
      </c>
      <c r="IV35" s="14">
        <v>103</v>
      </c>
      <c r="IW35" s="14"/>
      <c r="IX35" s="14"/>
      <c r="IY35" s="14"/>
      <c r="IZ35" s="14"/>
      <c r="JA35" s="14"/>
      <c r="JB35" s="14">
        <v>88</v>
      </c>
      <c r="JC35" s="14">
        <v>104</v>
      </c>
      <c r="JD35" s="14">
        <v>135</v>
      </c>
      <c r="JE35" s="14"/>
      <c r="JF35" s="14"/>
      <c r="JG35" s="14"/>
      <c r="JH35" s="8">
        <v>138</v>
      </c>
      <c r="JI35" s="8">
        <v>69</v>
      </c>
      <c r="JJ35" s="8">
        <v>83</v>
      </c>
      <c r="JK35" s="8"/>
      <c r="JL35" s="8">
        <v>87</v>
      </c>
      <c r="JM35" s="8">
        <v>83</v>
      </c>
      <c r="JN35" s="8">
        <v>131</v>
      </c>
      <c r="JO35" s="8">
        <v>105</v>
      </c>
      <c r="JP35" s="8">
        <v>90</v>
      </c>
      <c r="JQ35" s="8">
        <v>85</v>
      </c>
      <c r="JR35" s="8">
        <v>89</v>
      </c>
      <c r="JS35" s="8">
        <v>108</v>
      </c>
      <c r="JT35" s="8">
        <v>81</v>
      </c>
      <c r="JU35" s="8">
        <v>135</v>
      </c>
      <c r="JV35" s="8">
        <v>108</v>
      </c>
      <c r="JW35" s="8">
        <v>71</v>
      </c>
      <c r="JX35" s="8">
        <v>126</v>
      </c>
      <c r="JY35" s="8">
        <v>122</v>
      </c>
      <c r="JZ35" s="8"/>
      <c r="KA35" s="8"/>
      <c r="KB35" s="8"/>
      <c r="KC35" s="8">
        <v>131</v>
      </c>
      <c r="KD35" s="8">
        <v>130</v>
      </c>
      <c r="KE35" s="8">
        <v>136</v>
      </c>
      <c r="KF35" s="8">
        <v>106</v>
      </c>
      <c r="KG35" s="8">
        <v>99</v>
      </c>
      <c r="KH35" s="8">
        <v>106</v>
      </c>
      <c r="KI35" s="8"/>
      <c r="KJ35" s="8"/>
      <c r="KK35" s="8"/>
      <c r="KL35" s="8">
        <v>133</v>
      </c>
      <c r="KM35" s="8">
        <v>174</v>
      </c>
      <c r="KN35" s="8">
        <v>135</v>
      </c>
      <c r="KO35" s="8">
        <v>138</v>
      </c>
      <c r="KP35" s="8">
        <v>124</v>
      </c>
      <c r="KQ35" s="8">
        <v>157</v>
      </c>
      <c r="KR35" s="8">
        <v>140</v>
      </c>
      <c r="KS35" s="8">
        <v>158</v>
      </c>
      <c r="KT35" s="8">
        <v>147</v>
      </c>
      <c r="KU35" s="8">
        <v>209</v>
      </c>
      <c r="KV35" s="8">
        <v>158</v>
      </c>
      <c r="KW35" s="8">
        <v>144</v>
      </c>
      <c r="KX35" s="8">
        <v>161</v>
      </c>
      <c r="KY35" s="8">
        <v>167</v>
      </c>
      <c r="KZ35" s="8">
        <v>147</v>
      </c>
      <c r="LA35" s="8">
        <v>134</v>
      </c>
      <c r="LB35" s="8">
        <v>138</v>
      </c>
      <c r="LC35" s="8">
        <v>123</v>
      </c>
      <c r="LD35" s="8">
        <v>149</v>
      </c>
      <c r="LE35" s="8">
        <v>115</v>
      </c>
      <c r="LF35" s="8">
        <v>191</v>
      </c>
      <c r="LG35" s="8"/>
      <c r="LH35" s="8"/>
      <c r="LI35" s="8"/>
      <c r="LJ35" s="8"/>
      <c r="LK35" s="8"/>
      <c r="LL35" s="8"/>
      <c r="LM35" s="8"/>
      <c r="LN35" s="8"/>
      <c r="LO35" s="8"/>
      <c r="LP35" s="8">
        <v>127</v>
      </c>
      <c r="LQ35" s="8">
        <v>183</v>
      </c>
      <c r="LR35" s="8">
        <v>146</v>
      </c>
      <c r="LS35" s="8">
        <v>108</v>
      </c>
      <c r="LT35" s="8">
        <v>134</v>
      </c>
      <c r="LU35" s="8">
        <v>136</v>
      </c>
      <c r="LV35" s="8">
        <v>132</v>
      </c>
      <c r="LW35" s="8">
        <v>155</v>
      </c>
      <c r="LX35" s="8">
        <v>151</v>
      </c>
      <c r="LY35" s="8">
        <v>122</v>
      </c>
      <c r="LZ35" s="8">
        <v>163</v>
      </c>
      <c r="MA35" s="8">
        <v>149</v>
      </c>
      <c r="MB35" s="8"/>
      <c r="MC35" s="8"/>
      <c r="MD35" s="8"/>
      <c r="ME35" s="8"/>
      <c r="MF35" s="8"/>
      <c r="MG35" s="8"/>
      <c r="MH35" s="13"/>
      <c r="MI35" s="13"/>
      <c r="MJ35" s="13"/>
      <c r="MK35" s="13"/>
      <c r="ML35" s="13"/>
      <c r="MM35" s="13"/>
      <c r="MN35" s="13"/>
      <c r="MO35" s="13"/>
      <c r="MP35" s="13"/>
      <c r="MQ35" s="13"/>
      <c r="MR35" s="13"/>
      <c r="MS35" s="13"/>
      <c r="MT35" s="13"/>
      <c r="MU35" s="13"/>
      <c r="MV35" s="13"/>
      <c r="MW35" s="13"/>
      <c r="MX35" s="13"/>
      <c r="MY35" s="13"/>
      <c r="MZ35" s="13"/>
      <c r="NA35" s="13"/>
      <c r="NB35" s="13"/>
      <c r="NC35" s="13"/>
      <c r="ND35" s="13"/>
      <c r="NE35" s="13"/>
      <c r="NF35" s="13"/>
      <c r="NG35" s="13"/>
      <c r="NH35" s="13"/>
      <c r="NI35" s="13"/>
      <c r="NJ35" s="13"/>
      <c r="NK35" s="13"/>
      <c r="NL35" s="13"/>
      <c r="NM35" s="13"/>
      <c r="NN35" s="13"/>
      <c r="NO35" s="13"/>
      <c r="NP35" s="13"/>
      <c r="NQ35" s="13"/>
      <c r="NR35" s="13"/>
      <c r="NS35" s="13"/>
      <c r="NT35" s="13"/>
      <c r="NU35" s="13"/>
      <c r="NV35" s="13"/>
      <c r="NW35" s="13"/>
      <c r="NX35" s="13"/>
      <c r="NY35" s="13"/>
      <c r="NZ35" s="13"/>
      <c r="OA35" s="13"/>
      <c r="OB35" s="13"/>
      <c r="OC35" s="13"/>
      <c r="OD35" s="13"/>
      <c r="OE35" s="13"/>
      <c r="OF35" s="13"/>
      <c r="OG35" s="13"/>
      <c r="OH35" s="13"/>
      <c r="OI35" s="13"/>
      <c r="OJ35" s="8"/>
      <c r="OK35" s="36">
        <f>SUM(NU35:NW35)</f>
        <v>0</v>
      </c>
      <c r="OL35" s="10">
        <f>IFERROR(AVERAGE(NU35:NW35),0)</f>
        <v>0</v>
      </c>
      <c r="OM35" s="10">
        <f>IFERROR(SUM(IY35:MQ35)/COUNTIF(IY35:MQ35, "&gt;0"),0)</f>
        <v>128.71186440677965</v>
      </c>
      <c r="ON35" s="10">
        <f>IFERROR(SUM(MS35:OJ35)/COUNTIF(MS35:OJ35, "&gt;0"),0)</f>
        <v>0</v>
      </c>
      <c r="OO35" s="10">
        <f t="shared" si="8"/>
        <v>126.24615384615385</v>
      </c>
    </row>
    <row r="36" spans="1:406" hidden="1">
      <c r="A36" s="9" t="s">
        <v>30</v>
      </c>
      <c r="B36" s="8" t="str">
        <f>VLOOKUP(A36,'미니게임_DATA(순)'!$A$4:$B$48,2,0)</f>
        <v>N</v>
      </c>
      <c r="C36" s="13">
        <v>98</v>
      </c>
      <c r="D36" s="13">
        <v>123</v>
      </c>
      <c r="E36" s="13">
        <v>142</v>
      </c>
      <c r="F36" s="13"/>
      <c r="G36" s="13"/>
      <c r="H36" s="13"/>
      <c r="I36" s="13"/>
      <c r="J36" s="13"/>
      <c r="K36" s="13"/>
      <c r="L36" s="18">
        <v>98</v>
      </c>
      <c r="M36" s="18">
        <v>119</v>
      </c>
      <c r="N36" s="18">
        <v>109</v>
      </c>
      <c r="O36" s="18">
        <v>144</v>
      </c>
      <c r="P36" s="18">
        <v>98</v>
      </c>
      <c r="Q36" s="18">
        <v>146</v>
      </c>
      <c r="R36" s="18">
        <v>173</v>
      </c>
      <c r="S36" s="18">
        <v>112</v>
      </c>
      <c r="T36" s="18">
        <v>94</v>
      </c>
      <c r="U36" s="18">
        <v>94</v>
      </c>
      <c r="V36" s="18">
        <v>121</v>
      </c>
      <c r="W36" s="18">
        <v>155</v>
      </c>
      <c r="X36" s="18">
        <v>125</v>
      </c>
      <c r="Y36" s="18">
        <v>116</v>
      </c>
      <c r="Z36" s="18">
        <v>141</v>
      </c>
      <c r="AA36" s="18">
        <v>143</v>
      </c>
      <c r="AB36" s="18">
        <v>108</v>
      </c>
      <c r="AC36" s="18">
        <v>119</v>
      </c>
      <c r="AD36" s="18">
        <v>140</v>
      </c>
      <c r="AE36" s="18">
        <v>126</v>
      </c>
      <c r="AF36" s="18">
        <v>130</v>
      </c>
      <c r="AG36" s="18">
        <v>125</v>
      </c>
      <c r="AH36" s="18">
        <v>153</v>
      </c>
      <c r="AI36" s="18">
        <v>136</v>
      </c>
      <c r="AJ36" s="18">
        <v>145</v>
      </c>
      <c r="AK36" s="18">
        <v>154</v>
      </c>
      <c r="AL36" s="18">
        <v>124</v>
      </c>
      <c r="AM36" s="18">
        <v>149</v>
      </c>
      <c r="AN36" s="18">
        <v>127</v>
      </c>
      <c r="AO36" s="18">
        <v>103</v>
      </c>
      <c r="AP36" s="18">
        <v>108</v>
      </c>
      <c r="AQ36" s="18"/>
      <c r="AR36" s="18"/>
      <c r="AS36" s="18">
        <v>137</v>
      </c>
      <c r="AT36" s="18">
        <v>87</v>
      </c>
      <c r="AU36" s="18">
        <v>125</v>
      </c>
      <c r="AV36" s="20">
        <v>216</v>
      </c>
      <c r="AW36" s="18">
        <v>113</v>
      </c>
      <c r="AX36" s="18">
        <v>142</v>
      </c>
      <c r="AY36" s="18"/>
      <c r="AZ36" s="18"/>
      <c r="BA36" s="18"/>
      <c r="BB36" s="18"/>
      <c r="BC36" s="18"/>
      <c r="BD36" s="18"/>
      <c r="BE36" s="18">
        <v>145</v>
      </c>
      <c r="BF36" s="18">
        <v>125</v>
      </c>
      <c r="BG36" s="18">
        <v>134</v>
      </c>
      <c r="BH36" s="18">
        <v>140</v>
      </c>
      <c r="BI36" s="18">
        <v>177</v>
      </c>
      <c r="BJ36" s="18">
        <v>140</v>
      </c>
      <c r="BK36" s="18">
        <v>133</v>
      </c>
      <c r="BL36" s="18">
        <v>156</v>
      </c>
      <c r="BM36" s="18">
        <v>127</v>
      </c>
      <c r="BN36" s="18">
        <v>136</v>
      </c>
      <c r="BO36" s="18">
        <v>106</v>
      </c>
      <c r="BP36" s="18">
        <v>130</v>
      </c>
      <c r="BQ36" s="18">
        <v>132</v>
      </c>
      <c r="BR36" s="18">
        <v>131</v>
      </c>
      <c r="BS36" s="18">
        <v>138</v>
      </c>
      <c r="BT36" s="18">
        <v>138</v>
      </c>
      <c r="BU36" s="18">
        <v>127</v>
      </c>
      <c r="BV36" s="18">
        <v>152</v>
      </c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>
        <v>126</v>
      </c>
      <c r="CI36" s="18">
        <v>125</v>
      </c>
      <c r="CJ36" s="18">
        <v>101</v>
      </c>
      <c r="CK36" s="21">
        <v>200</v>
      </c>
      <c r="CL36" s="22">
        <v>145</v>
      </c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>
        <v>170</v>
      </c>
      <c r="DI36" s="22">
        <v>154</v>
      </c>
      <c r="DJ36" s="22">
        <v>148</v>
      </c>
      <c r="DK36" s="22"/>
      <c r="DL36" s="22"/>
      <c r="DM36" s="22">
        <v>156</v>
      </c>
      <c r="DN36" s="14"/>
      <c r="DO36" s="22">
        <v>109</v>
      </c>
      <c r="DP36" s="22">
        <v>135</v>
      </c>
      <c r="DQ36" s="22">
        <v>107</v>
      </c>
      <c r="DR36" s="22"/>
      <c r="DS36" s="22"/>
      <c r="DT36" s="22"/>
      <c r="DU36" s="22"/>
      <c r="DV36" s="22"/>
      <c r="DW36" s="22"/>
      <c r="DX36" s="22">
        <v>147</v>
      </c>
      <c r="DY36" s="22">
        <v>125</v>
      </c>
      <c r="DZ36" s="22">
        <v>155</v>
      </c>
      <c r="EA36" s="22"/>
      <c r="EB36" s="22"/>
      <c r="EC36" s="22"/>
      <c r="ED36" s="22">
        <v>159</v>
      </c>
      <c r="EE36" s="22">
        <v>103</v>
      </c>
      <c r="EF36" s="22">
        <v>159</v>
      </c>
      <c r="EG36" s="22">
        <v>118</v>
      </c>
      <c r="EH36" s="22"/>
      <c r="EI36" s="22"/>
      <c r="EJ36" s="22"/>
      <c r="EK36" s="22">
        <v>132</v>
      </c>
      <c r="EL36" s="22">
        <v>161</v>
      </c>
      <c r="EM36" s="22">
        <v>139</v>
      </c>
      <c r="EN36" s="22">
        <v>116</v>
      </c>
      <c r="EO36" s="22">
        <v>136</v>
      </c>
      <c r="EP36" s="22">
        <v>150</v>
      </c>
      <c r="EQ36" s="22">
        <v>155</v>
      </c>
      <c r="ER36" s="22">
        <v>152</v>
      </c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0">
        <v>220</v>
      </c>
      <c r="FF36" s="22">
        <v>146</v>
      </c>
      <c r="FG36" s="22">
        <v>128</v>
      </c>
      <c r="FH36" s="22"/>
      <c r="FI36" s="22">
        <v>144</v>
      </c>
      <c r="FJ36" s="22">
        <v>139</v>
      </c>
      <c r="FK36" s="22"/>
      <c r="FL36" s="22"/>
      <c r="FM36" s="22"/>
      <c r="FN36" s="22"/>
      <c r="FO36" s="22">
        <v>166</v>
      </c>
      <c r="FP36" s="22">
        <v>95</v>
      </c>
      <c r="FQ36" s="22"/>
      <c r="FR36" s="22"/>
      <c r="FS36" s="22">
        <v>121</v>
      </c>
      <c r="FT36" s="22">
        <v>114</v>
      </c>
      <c r="FU36" s="22">
        <v>148</v>
      </c>
      <c r="FV36" s="22"/>
      <c r="FW36" s="22"/>
      <c r="FX36" s="22"/>
      <c r="FY36" s="22"/>
      <c r="FZ36" s="22">
        <v>130</v>
      </c>
      <c r="GA36" s="22">
        <v>123</v>
      </c>
      <c r="GB36" s="22"/>
      <c r="GC36" s="22">
        <v>148</v>
      </c>
      <c r="GD36" s="22">
        <v>151</v>
      </c>
      <c r="GE36" s="22">
        <v>187</v>
      </c>
      <c r="GF36" s="22">
        <v>113</v>
      </c>
      <c r="GG36" s="22">
        <v>153</v>
      </c>
      <c r="GH36" s="22">
        <v>166</v>
      </c>
      <c r="GI36" s="22"/>
      <c r="GJ36" s="22"/>
      <c r="GK36" s="22"/>
      <c r="GL36" s="22">
        <v>111</v>
      </c>
      <c r="GM36" s="22">
        <v>129</v>
      </c>
      <c r="GN36" s="22">
        <v>139</v>
      </c>
      <c r="GO36" s="20">
        <v>203</v>
      </c>
      <c r="GP36" s="22">
        <v>148</v>
      </c>
      <c r="GQ36" s="22">
        <v>161</v>
      </c>
      <c r="GR36" s="22"/>
      <c r="GS36" s="22">
        <v>122</v>
      </c>
      <c r="GT36" s="22">
        <v>176</v>
      </c>
      <c r="GU36" s="22"/>
      <c r="GV36" s="22"/>
      <c r="GW36" s="22"/>
      <c r="GX36" s="22">
        <v>157</v>
      </c>
      <c r="GY36" s="22">
        <v>112</v>
      </c>
      <c r="GZ36" s="22">
        <v>125</v>
      </c>
      <c r="HA36" s="22">
        <v>144</v>
      </c>
      <c r="HB36" s="22">
        <v>104</v>
      </c>
      <c r="HC36" s="22">
        <v>172</v>
      </c>
      <c r="HD36" s="22">
        <v>197</v>
      </c>
      <c r="HE36" s="22">
        <v>105</v>
      </c>
      <c r="HF36" s="22">
        <v>131</v>
      </c>
      <c r="HG36" s="22"/>
      <c r="HH36" s="22"/>
      <c r="HI36" s="22"/>
      <c r="HJ36" s="22"/>
      <c r="HK36" s="22">
        <v>136</v>
      </c>
      <c r="HL36" s="22">
        <v>158</v>
      </c>
      <c r="HM36" s="18">
        <v>111</v>
      </c>
      <c r="HN36" s="18">
        <v>169</v>
      </c>
      <c r="HO36" s="18">
        <v>156</v>
      </c>
      <c r="HP36" s="22"/>
      <c r="HQ36" s="22"/>
      <c r="HR36" s="22"/>
      <c r="HS36" s="22">
        <v>164</v>
      </c>
      <c r="HT36" s="22">
        <v>124</v>
      </c>
      <c r="HU36" s="22">
        <v>145</v>
      </c>
      <c r="HV36" s="22"/>
      <c r="HW36" s="22"/>
      <c r="HX36" s="22"/>
      <c r="HY36" s="28">
        <v>153</v>
      </c>
      <c r="HZ36" s="28">
        <v>168</v>
      </c>
      <c r="IA36" s="28">
        <v>164</v>
      </c>
      <c r="IB36" s="22"/>
      <c r="IC36" s="22"/>
      <c r="ID36" s="22"/>
      <c r="IE36" s="22"/>
      <c r="IF36" s="22"/>
      <c r="IG36" s="22"/>
      <c r="IH36" s="22"/>
      <c r="II36" s="22"/>
      <c r="IJ36" s="22"/>
      <c r="IK36" s="22"/>
      <c r="IL36" s="22"/>
      <c r="IM36" s="22"/>
      <c r="IN36" s="22"/>
      <c r="IO36" s="22"/>
      <c r="IP36" s="22"/>
      <c r="IQ36" s="22"/>
      <c r="IR36" s="22"/>
      <c r="IS36" s="22"/>
      <c r="IT36" s="22"/>
      <c r="IU36" s="22"/>
      <c r="IV36" s="22"/>
      <c r="IW36" s="22"/>
      <c r="IX36" s="22"/>
      <c r="IY36" s="22"/>
      <c r="IZ36" s="22"/>
      <c r="JA36" s="22"/>
      <c r="JB36" s="22"/>
      <c r="JC36" s="22"/>
      <c r="JD36" s="22"/>
      <c r="JE36" s="22"/>
      <c r="JF36" s="22"/>
      <c r="JG36" s="22"/>
      <c r="JH36" s="9">
        <v>138</v>
      </c>
      <c r="JI36" s="9">
        <v>138</v>
      </c>
      <c r="JJ36" s="9">
        <v>153</v>
      </c>
      <c r="JK36" s="9">
        <v>170</v>
      </c>
      <c r="JL36" s="9">
        <v>113</v>
      </c>
      <c r="JM36" s="9">
        <v>108</v>
      </c>
      <c r="JN36" s="9">
        <v>128</v>
      </c>
      <c r="JO36" s="9">
        <v>158</v>
      </c>
      <c r="JP36" s="9">
        <v>132</v>
      </c>
      <c r="JQ36" s="9"/>
      <c r="JR36" s="9">
        <v>147</v>
      </c>
      <c r="JS36" s="9">
        <v>146</v>
      </c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  <c r="KN36" s="9"/>
      <c r="KO36" s="9"/>
      <c r="KP36" s="9"/>
      <c r="KQ36" s="9"/>
      <c r="KR36" s="9"/>
      <c r="KS36" s="9"/>
      <c r="KT36" s="9"/>
      <c r="KU36" s="9"/>
      <c r="KV36" s="9"/>
      <c r="KW36" s="9"/>
      <c r="KX36" s="9"/>
      <c r="KY36" s="9"/>
      <c r="KZ36" s="9"/>
      <c r="LA36" s="9"/>
      <c r="LB36" s="9"/>
      <c r="LC36" s="9"/>
      <c r="LD36" s="9"/>
      <c r="LE36" s="9"/>
      <c r="LF36" s="9"/>
      <c r="LG36" s="9"/>
      <c r="LH36" s="9"/>
      <c r="LI36" s="9"/>
      <c r="LJ36" s="9"/>
      <c r="LK36" s="9"/>
      <c r="LL36" s="9"/>
      <c r="LM36" s="9"/>
      <c r="LN36" s="9"/>
      <c r="LO36" s="9"/>
      <c r="LP36" s="9"/>
      <c r="LQ36" s="9"/>
      <c r="LR36" s="9"/>
      <c r="LS36" s="9"/>
      <c r="LT36" s="9"/>
      <c r="LU36" s="9"/>
      <c r="LV36" s="9"/>
      <c r="LW36" s="9"/>
      <c r="LX36" s="9"/>
      <c r="LY36" s="9"/>
      <c r="LZ36" s="9"/>
      <c r="MA36" s="9"/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  <c r="MN36" s="9"/>
      <c r="MO36" s="9"/>
      <c r="MP36" s="9"/>
      <c r="MQ36" s="9"/>
      <c r="MR36" s="9"/>
      <c r="MS36" s="9"/>
      <c r="MT36" s="9"/>
      <c r="MU36" s="9"/>
      <c r="MV36" s="9"/>
      <c r="MW36" s="9"/>
      <c r="MX36" s="9"/>
      <c r="MY36" s="9"/>
      <c r="MZ36" s="9"/>
      <c r="NA36" s="9"/>
      <c r="NB36" s="9"/>
      <c r="NC36" s="9"/>
      <c r="ND36" s="9"/>
      <c r="NE36" s="9"/>
      <c r="NF36" s="9"/>
      <c r="NG36" s="9"/>
      <c r="NH36" s="9"/>
      <c r="NI36" s="9"/>
      <c r="NJ36" s="9"/>
      <c r="NK36" s="9"/>
      <c r="NL36" s="9"/>
      <c r="NM36" s="9"/>
      <c r="NN36" s="9"/>
      <c r="NO36" s="9"/>
      <c r="NP36" s="9"/>
      <c r="NQ36" s="9"/>
      <c r="NR36" s="9"/>
      <c r="NS36" s="9"/>
      <c r="NT36" s="9"/>
      <c r="NU36" s="9"/>
      <c r="NV36" s="9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9"/>
      <c r="OK36" s="36">
        <f>SUM(NU36:NW36)</f>
        <v>0</v>
      </c>
      <c r="OL36" s="10">
        <f>IFERROR(AVERAGE(NU36:NW36),0)</f>
        <v>0</v>
      </c>
      <c r="OM36" s="10">
        <f>IFERROR(SUM(IY36:OJ36)/COUNTIF(IY36:OJ36, "&gt;0"),0)</f>
        <v>139.18181818181819</v>
      </c>
      <c r="ON36" s="10"/>
      <c r="OO36" s="10">
        <f t="shared" si="8"/>
        <v>137.85211267605635</v>
      </c>
    </row>
    <row r="37" spans="1:406" ht="16.5" customHeight="1">
      <c r="A37" s="8" t="s">
        <v>24</v>
      </c>
      <c r="B37" s="8" t="str">
        <f>VLOOKUP(A37,'미니게임_DATA(순)'!$A$4:$B$60,2,0)</f>
        <v>Y</v>
      </c>
      <c r="C37" s="13"/>
      <c r="D37" s="13"/>
      <c r="E37" s="13"/>
      <c r="F37" s="13">
        <v>157</v>
      </c>
      <c r="G37" s="13">
        <v>160</v>
      </c>
      <c r="H37" s="13">
        <v>195</v>
      </c>
      <c r="I37" s="13">
        <v>169</v>
      </c>
      <c r="J37" s="13">
        <v>155</v>
      </c>
      <c r="K37" s="13">
        <v>175</v>
      </c>
      <c r="L37" s="18">
        <v>162</v>
      </c>
      <c r="M37" s="18">
        <v>124</v>
      </c>
      <c r="N37" s="18">
        <v>136</v>
      </c>
      <c r="O37" s="18"/>
      <c r="P37" s="18"/>
      <c r="Q37" s="18"/>
      <c r="R37" s="18"/>
      <c r="S37" s="18"/>
      <c r="T37" s="18"/>
      <c r="U37" s="18">
        <v>156</v>
      </c>
      <c r="V37" s="18">
        <v>169</v>
      </c>
      <c r="W37" s="18">
        <v>189</v>
      </c>
      <c r="X37" s="18"/>
      <c r="Y37" s="18">
        <v>158</v>
      </c>
      <c r="Z37" s="18">
        <v>108</v>
      </c>
      <c r="AA37" s="18">
        <v>190</v>
      </c>
      <c r="AB37" s="18">
        <v>170</v>
      </c>
      <c r="AC37" s="18">
        <v>146</v>
      </c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>
        <v>141</v>
      </c>
      <c r="AR37" s="18">
        <v>202</v>
      </c>
      <c r="AS37" s="18">
        <v>187</v>
      </c>
      <c r="AT37" s="18">
        <v>140</v>
      </c>
      <c r="AU37" s="18">
        <v>181</v>
      </c>
      <c r="AV37" s="20">
        <v>223</v>
      </c>
      <c r="AW37" s="20">
        <v>212</v>
      </c>
      <c r="AX37" s="18">
        <v>191</v>
      </c>
      <c r="AY37" s="18"/>
      <c r="AZ37" s="18"/>
      <c r="BA37" s="18"/>
      <c r="BB37" s="18"/>
      <c r="BC37" s="18"/>
      <c r="BD37" s="18"/>
      <c r="BE37" s="18">
        <v>124</v>
      </c>
      <c r="BF37" s="18">
        <v>168</v>
      </c>
      <c r="BG37" s="18">
        <v>169</v>
      </c>
      <c r="BH37" s="18">
        <v>126</v>
      </c>
      <c r="BI37" s="18">
        <v>150</v>
      </c>
      <c r="BJ37" s="18">
        <v>153</v>
      </c>
      <c r="BK37" s="18"/>
      <c r="BL37" s="18"/>
      <c r="BM37" s="18"/>
      <c r="BN37" s="18"/>
      <c r="BO37" s="18"/>
      <c r="BP37" s="18"/>
      <c r="BQ37" s="18">
        <v>179</v>
      </c>
      <c r="BR37" s="18">
        <v>162</v>
      </c>
      <c r="BS37" s="18">
        <v>122</v>
      </c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>
        <v>142</v>
      </c>
      <c r="CT37" s="18">
        <v>126</v>
      </c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>
        <v>151</v>
      </c>
      <c r="DV37" s="18">
        <v>181</v>
      </c>
      <c r="DW37" s="18">
        <v>133</v>
      </c>
      <c r="DX37" s="18"/>
      <c r="DY37" s="18"/>
      <c r="DZ37" s="18"/>
      <c r="EA37" s="18">
        <v>130</v>
      </c>
      <c r="EB37" s="18">
        <v>182</v>
      </c>
      <c r="EC37" s="18">
        <v>128</v>
      </c>
      <c r="ED37" s="18">
        <v>132</v>
      </c>
      <c r="EE37" s="18">
        <v>155</v>
      </c>
      <c r="EF37" s="18">
        <v>146</v>
      </c>
      <c r="EG37" s="18"/>
      <c r="EH37" s="18"/>
      <c r="EI37" s="18"/>
      <c r="EJ37" s="18"/>
      <c r="EK37" s="18"/>
      <c r="EL37" s="18"/>
      <c r="EM37" s="18">
        <v>120</v>
      </c>
      <c r="EN37" s="18">
        <v>165</v>
      </c>
      <c r="EO37" s="18">
        <v>160</v>
      </c>
      <c r="EP37" s="18">
        <v>148</v>
      </c>
      <c r="EQ37" s="18">
        <v>135</v>
      </c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>
        <v>175</v>
      </c>
      <c r="FF37" s="18">
        <v>166</v>
      </c>
      <c r="FG37" s="18">
        <v>199</v>
      </c>
      <c r="FH37" s="18"/>
      <c r="FI37" s="18"/>
      <c r="FJ37" s="18"/>
      <c r="FK37" s="18"/>
      <c r="FL37" s="18"/>
      <c r="FM37" s="18"/>
      <c r="FN37" s="18">
        <v>158</v>
      </c>
      <c r="FO37" s="18">
        <v>154</v>
      </c>
      <c r="FP37" s="18">
        <v>157</v>
      </c>
      <c r="FQ37" s="20">
        <v>225</v>
      </c>
      <c r="FR37" s="18">
        <v>171</v>
      </c>
      <c r="FS37" s="18">
        <v>151</v>
      </c>
      <c r="FT37" s="20">
        <v>219</v>
      </c>
      <c r="FU37" s="18">
        <v>198</v>
      </c>
      <c r="FV37" s="20">
        <v>212</v>
      </c>
      <c r="FW37" s="18">
        <v>161</v>
      </c>
      <c r="FX37" s="18">
        <v>158</v>
      </c>
      <c r="FY37" s="18"/>
      <c r="FZ37" s="18"/>
      <c r="GA37" s="18"/>
      <c r="GB37" s="18"/>
      <c r="GC37" s="18">
        <v>151</v>
      </c>
      <c r="GD37" s="18">
        <v>159</v>
      </c>
      <c r="GE37" s="18">
        <v>145</v>
      </c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9">
        <v>234</v>
      </c>
      <c r="GY37" s="18">
        <v>157</v>
      </c>
      <c r="GZ37" s="18">
        <v>126</v>
      </c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>
        <v>114</v>
      </c>
      <c r="HW37" s="18">
        <v>143</v>
      </c>
      <c r="HX37" s="18">
        <v>162</v>
      </c>
      <c r="HY37" s="18"/>
      <c r="HZ37" s="18"/>
      <c r="IA37" s="18"/>
      <c r="IB37" s="18">
        <v>177</v>
      </c>
      <c r="IC37" s="18">
        <v>161</v>
      </c>
      <c r="ID37" s="18">
        <v>181</v>
      </c>
      <c r="IE37" s="18"/>
      <c r="IF37" s="18"/>
      <c r="IG37" s="18"/>
      <c r="IH37" s="18">
        <v>172</v>
      </c>
      <c r="II37" s="18">
        <v>145</v>
      </c>
      <c r="IJ37" s="18">
        <v>170</v>
      </c>
      <c r="IK37" s="18">
        <v>139</v>
      </c>
      <c r="IL37" s="18">
        <v>138</v>
      </c>
      <c r="IM37" s="18">
        <v>145</v>
      </c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  <c r="IY37" s="18"/>
      <c r="IZ37" s="18"/>
      <c r="JA37" s="18"/>
      <c r="JB37" s="18"/>
      <c r="JC37" s="18"/>
      <c r="JD37" s="18"/>
      <c r="JE37" s="18"/>
      <c r="JF37" s="18"/>
      <c r="JG37" s="1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>
        <v>118</v>
      </c>
      <c r="KM37" s="8">
        <v>156</v>
      </c>
      <c r="KN37" s="8">
        <v>142</v>
      </c>
      <c r="KO37" s="8"/>
      <c r="KP37" s="8"/>
      <c r="KQ37" s="8"/>
      <c r="KR37" s="8">
        <v>183</v>
      </c>
      <c r="KS37" s="8">
        <v>170</v>
      </c>
      <c r="KT37" s="8">
        <v>149</v>
      </c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>
        <v>189</v>
      </c>
      <c r="MW37" s="13">
        <v>167</v>
      </c>
      <c r="MX37" s="13">
        <v>158</v>
      </c>
      <c r="MY37" s="13"/>
      <c r="MZ37" s="13"/>
      <c r="NA37" s="13"/>
      <c r="NB37" s="13"/>
      <c r="NC37" s="13"/>
      <c r="ND37" s="13"/>
      <c r="NE37" s="13"/>
      <c r="NF37" s="13"/>
      <c r="NG37" s="13"/>
      <c r="NH37" s="13">
        <v>181</v>
      </c>
      <c r="NI37" s="13"/>
      <c r="NJ37" s="13"/>
      <c r="NK37" s="13"/>
      <c r="NL37" s="13"/>
      <c r="NM37" s="13"/>
      <c r="NN37" s="13"/>
      <c r="NO37" s="13"/>
      <c r="NP37" s="13"/>
      <c r="NQ37" s="13"/>
      <c r="NR37" s="13"/>
      <c r="NS37" s="13"/>
      <c r="NT37" s="13"/>
      <c r="NU37" s="13"/>
      <c r="NV37" s="13"/>
      <c r="NW37" s="13"/>
      <c r="NX37" s="13"/>
      <c r="NY37" s="13"/>
      <c r="NZ37" s="13"/>
      <c r="OA37" s="13"/>
      <c r="OB37" s="13"/>
      <c r="OC37" s="13"/>
      <c r="OD37" s="13"/>
      <c r="OE37" s="13"/>
      <c r="OF37" s="13"/>
      <c r="OG37" s="13"/>
      <c r="OH37" s="13"/>
      <c r="OI37" s="13"/>
      <c r="OJ37" s="8"/>
      <c r="OK37" s="36">
        <f>SUM(OG37:OI37)</f>
        <v>0</v>
      </c>
      <c r="OL37" s="10">
        <f t="shared" ref="OL37:OL38" si="9">IFERROR(AVERAGE(OG37:OI37),0)</f>
        <v>0</v>
      </c>
      <c r="OM37" s="10">
        <f>IFERROR(SUM(IY37:MQ37)/COUNTIF(IY37:MQ37, "&gt;0"),0)</f>
        <v>153</v>
      </c>
      <c r="ON37" s="10">
        <f>IFERROR(SUM(MS37:OJ37)/COUNTIF(MS37:OJ37, "&gt;0"),0)</f>
        <v>173.75</v>
      </c>
      <c r="OO37" s="10">
        <f t="shared" si="8"/>
        <v>161.07608695652175</v>
      </c>
    </row>
    <row r="38" spans="1:406">
      <c r="A38" s="8" t="s">
        <v>20</v>
      </c>
      <c r="B38" s="8" t="str">
        <f>VLOOKUP(A38,'미니게임_DATA(순)'!$A$4:$B$60,2,0)</f>
        <v>Y</v>
      </c>
      <c r="C38" s="13"/>
      <c r="D38" s="13"/>
      <c r="E38" s="13"/>
      <c r="F38" s="13"/>
      <c r="G38" s="13"/>
      <c r="H38" s="13"/>
      <c r="I38" s="13">
        <v>109</v>
      </c>
      <c r="J38" s="13">
        <v>158</v>
      </c>
      <c r="K38" s="13">
        <v>173</v>
      </c>
      <c r="L38" s="18"/>
      <c r="M38" s="18"/>
      <c r="N38" s="18"/>
      <c r="O38" s="18"/>
      <c r="P38" s="18">
        <v>140</v>
      </c>
      <c r="Q38" s="18">
        <v>143</v>
      </c>
      <c r="R38" s="18"/>
      <c r="S38" s="18"/>
      <c r="T38" s="18"/>
      <c r="U38" s="18"/>
      <c r="V38" s="18"/>
      <c r="W38" s="18"/>
      <c r="X38" s="18">
        <v>160</v>
      </c>
      <c r="Y38" s="20">
        <v>224</v>
      </c>
      <c r="Z38" s="20">
        <v>213</v>
      </c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>
        <v>187</v>
      </c>
      <c r="AR38" s="18">
        <v>141</v>
      </c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>
        <v>158</v>
      </c>
      <c r="CL38" s="21">
        <v>204</v>
      </c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20">
        <v>223</v>
      </c>
      <c r="DP38" s="18">
        <v>155</v>
      </c>
      <c r="DQ38" s="20">
        <v>206</v>
      </c>
      <c r="DR38" s="18"/>
      <c r="DS38" s="18"/>
      <c r="DT38" s="18"/>
      <c r="DU38" s="18"/>
      <c r="DV38" s="18"/>
      <c r="DW38" s="18"/>
      <c r="DX38" s="18">
        <v>154</v>
      </c>
      <c r="DY38" s="18">
        <v>167</v>
      </c>
      <c r="DZ38" s="18">
        <v>165</v>
      </c>
      <c r="EA38" s="18">
        <v>156</v>
      </c>
      <c r="EB38" s="20">
        <v>238</v>
      </c>
      <c r="EC38" s="20">
        <v>242</v>
      </c>
      <c r="ED38" s="18"/>
      <c r="EE38" s="18"/>
      <c r="EF38" s="18"/>
      <c r="EG38" s="18"/>
      <c r="EH38" s="18"/>
      <c r="EI38" s="18"/>
      <c r="EJ38" s="18"/>
      <c r="EK38" s="18"/>
      <c r="EL38" s="18"/>
      <c r="EM38" s="30">
        <v>235</v>
      </c>
      <c r="EN38" s="20">
        <v>233</v>
      </c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20">
        <v>201</v>
      </c>
      <c r="FZ38" s="18">
        <v>180</v>
      </c>
      <c r="GA38" s="20">
        <v>216</v>
      </c>
      <c r="GB38" s="18"/>
      <c r="GC38" s="20">
        <v>255</v>
      </c>
      <c r="GD38" s="18">
        <v>178</v>
      </c>
      <c r="GE38" s="20">
        <v>216</v>
      </c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>
        <v>191</v>
      </c>
      <c r="HN38" s="18">
        <v>197</v>
      </c>
      <c r="HO38" s="18">
        <v>192</v>
      </c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>
        <v>211</v>
      </c>
      <c r="ID38" s="18"/>
      <c r="IE38" s="18"/>
      <c r="IF38" s="18"/>
      <c r="IG38" s="18"/>
      <c r="IH38" s="18"/>
      <c r="II38" s="18"/>
      <c r="IJ38" s="18"/>
      <c r="IK38" s="18">
        <v>193</v>
      </c>
      <c r="IL38" s="18">
        <v>218</v>
      </c>
      <c r="IM38" s="18">
        <v>187</v>
      </c>
      <c r="IN38" s="18"/>
      <c r="IO38" s="18"/>
      <c r="IP38" s="18"/>
      <c r="IQ38" s="18">
        <v>162</v>
      </c>
      <c r="IR38" s="18">
        <v>135</v>
      </c>
      <c r="IS38" s="18">
        <v>200</v>
      </c>
      <c r="IT38" s="18"/>
      <c r="IU38" s="18"/>
      <c r="IV38" s="18"/>
      <c r="IW38" s="18"/>
      <c r="IX38" s="18"/>
      <c r="IY38" s="18"/>
      <c r="IZ38" s="18"/>
      <c r="JA38" s="18"/>
      <c r="JB38" s="18"/>
      <c r="JC38" s="18"/>
      <c r="JD38" s="18"/>
      <c r="JE38" s="18"/>
      <c r="JF38" s="18"/>
      <c r="JG38" s="1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>
        <v>192</v>
      </c>
      <c r="MC38" s="8">
        <v>146</v>
      </c>
      <c r="MD38" s="8">
        <v>244</v>
      </c>
      <c r="ME38" s="8"/>
      <c r="MF38" s="8"/>
      <c r="MG38" s="8"/>
      <c r="MH38" s="13"/>
      <c r="MI38" s="13"/>
      <c r="MJ38" s="13"/>
      <c r="MK38" s="13"/>
      <c r="ML38" s="13"/>
      <c r="MM38" s="13"/>
      <c r="MN38" s="13"/>
      <c r="MO38" s="13"/>
      <c r="MP38" s="13"/>
      <c r="MQ38" s="13"/>
      <c r="MR38" s="13"/>
      <c r="MS38" s="13"/>
      <c r="MT38" s="13"/>
      <c r="MU38" s="13"/>
      <c r="MV38" s="13"/>
      <c r="MW38" s="13"/>
      <c r="MX38" s="13"/>
      <c r="MY38" s="13"/>
      <c r="MZ38" s="13"/>
      <c r="NA38" s="13"/>
      <c r="NB38" s="13"/>
      <c r="NC38" s="13"/>
      <c r="ND38" s="13"/>
      <c r="NE38" s="13"/>
      <c r="NF38" s="13"/>
      <c r="NG38" s="13"/>
      <c r="NH38" s="13"/>
      <c r="NI38" s="13"/>
      <c r="NJ38" s="13"/>
      <c r="NK38" s="13"/>
      <c r="NL38" s="13"/>
      <c r="NM38" s="13"/>
      <c r="NN38" s="13"/>
      <c r="NO38" s="13"/>
      <c r="NP38" s="13"/>
      <c r="NQ38" s="13"/>
      <c r="NR38" s="13"/>
      <c r="NS38" s="13"/>
      <c r="NT38" s="13"/>
      <c r="NU38" s="13"/>
      <c r="NV38" s="13"/>
      <c r="NW38" s="13"/>
      <c r="NX38" s="13"/>
      <c r="NY38" s="13"/>
      <c r="NZ38" s="13"/>
      <c r="OA38" s="13"/>
      <c r="OB38" s="13"/>
      <c r="OC38" s="13"/>
      <c r="OD38" s="13"/>
      <c r="OE38" s="13"/>
      <c r="OF38" s="13"/>
      <c r="OG38" s="13"/>
      <c r="OH38" s="13"/>
      <c r="OI38" s="13"/>
      <c r="OJ38" s="8"/>
      <c r="OK38" s="36">
        <f>SUM(OG38:OI38)</f>
        <v>0</v>
      </c>
      <c r="OL38" s="10">
        <f t="shared" si="9"/>
        <v>0</v>
      </c>
      <c r="OM38" s="10">
        <f>IFERROR(SUM(IY38:MQ38)/COUNTIF(IY38:MQ38, "&gt;0"),0)</f>
        <v>194</v>
      </c>
      <c r="ON38" s="10">
        <f>IFERROR(SUM(MS38:OJ38)/COUNTIF(MS38:OJ38, "&gt;0"),0)</f>
        <v>0</v>
      </c>
      <c r="OO38" s="10">
        <f t="shared" si="8"/>
        <v>188.04761904761904</v>
      </c>
    </row>
    <row r="39" spans="1:406" hidden="1">
      <c r="A39" s="8" t="s">
        <v>31</v>
      </c>
      <c r="B39" s="8" t="str">
        <f>VLOOKUP(A39,'미니게임_DATA(순)'!$A$4:$B$60,2,0)</f>
        <v>N</v>
      </c>
      <c r="C39" s="13"/>
      <c r="D39" s="13"/>
      <c r="E39" s="13"/>
      <c r="F39" s="13"/>
      <c r="G39" s="13"/>
      <c r="H39" s="13"/>
      <c r="I39" s="13"/>
      <c r="J39" s="13"/>
      <c r="K39" s="13"/>
      <c r="L39" s="18"/>
      <c r="M39" s="18"/>
      <c r="N39" s="20"/>
      <c r="O39" s="18"/>
      <c r="P39" s="18"/>
      <c r="Q39" s="18"/>
      <c r="R39" s="18"/>
      <c r="S39" s="18"/>
      <c r="T39" s="18"/>
      <c r="U39" s="18">
        <v>146</v>
      </c>
      <c r="V39" s="18">
        <v>127</v>
      </c>
      <c r="W39" s="18">
        <v>171</v>
      </c>
      <c r="X39" s="18">
        <v>132</v>
      </c>
      <c r="Y39" s="18">
        <v>117</v>
      </c>
      <c r="Z39" s="18">
        <v>183</v>
      </c>
      <c r="AA39" s="18"/>
      <c r="AB39" s="18"/>
      <c r="AC39" s="18"/>
      <c r="AD39" s="18">
        <v>191</v>
      </c>
      <c r="AE39" s="18">
        <v>169</v>
      </c>
      <c r="AF39" s="18">
        <v>165</v>
      </c>
      <c r="AG39" s="18"/>
      <c r="AH39" s="18"/>
      <c r="AI39" s="18"/>
      <c r="AJ39" s="18">
        <v>153</v>
      </c>
      <c r="AK39" s="18">
        <v>176</v>
      </c>
      <c r="AL39" s="18">
        <v>158</v>
      </c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>
        <v>167</v>
      </c>
      <c r="BF39" s="18">
        <v>181</v>
      </c>
      <c r="BG39" s="18">
        <v>171</v>
      </c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>
        <v>135</v>
      </c>
      <c r="CL39" s="18">
        <v>171</v>
      </c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>
        <v>126</v>
      </c>
      <c r="DL39" s="18">
        <v>150</v>
      </c>
      <c r="DM39" s="18">
        <v>179</v>
      </c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>
        <v>189</v>
      </c>
      <c r="HN39" s="18">
        <v>141</v>
      </c>
      <c r="HO39" s="18">
        <v>180</v>
      </c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  <c r="IW39" s="18"/>
      <c r="IX39" s="18"/>
      <c r="IY39" s="18"/>
      <c r="IZ39" s="18"/>
      <c r="JA39" s="18"/>
      <c r="JB39" s="18"/>
      <c r="JC39" s="18"/>
      <c r="JD39" s="18"/>
      <c r="JE39" s="18"/>
      <c r="JF39" s="18"/>
      <c r="JG39" s="1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13"/>
      <c r="MI39" s="13"/>
      <c r="MJ39" s="13"/>
      <c r="MK39" s="13"/>
      <c r="ML39" s="13"/>
      <c r="MM39" s="13"/>
      <c r="MN39" s="13"/>
      <c r="MO39" s="13"/>
      <c r="MP39" s="13"/>
      <c r="MQ39" s="13"/>
      <c r="MR39" s="13"/>
      <c r="MS39" s="13"/>
      <c r="MT39" s="13"/>
      <c r="MU39" s="13"/>
      <c r="MV39" s="13"/>
      <c r="MW39" s="13"/>
      <c r="MX39" s="13"/>
      <c r="MY39" s="13"/>
      <c r="MZ39" s="13"/>
      <c r="NA39" s="13"/>
      <c r="NB39" s="13"/>
      <c r="NC39" s="13"/>
      <c r="ND39" s="13"/>
      <c r="NE39" s="13"/>
      <c r="NF39" s="13"/>
      <c r="NG39" s="13"/>
      <c r="NH39" s="13"/>
      <c r="NI39" s="13"/>
      <c r="NJ39" s="13"/>
      <c r="NK39" s="13"/>
      <c r="NL39" s="13"/>
      <c r="NM39" s="13"/>
      <c r="NN39" s="13"/>
      <c r="NO39" s="13"/>
      <c r="NP39" s="13"/>
      <c r="NQ39" s="13"/>
      <c r="NR39" s="13"/>
      <c r="NS39" s="13"/>
      <c r="NT39" s="13"/>
      <c r="NU39" s="13"/>
      <c r="NV39" s="13"/>
      <c r="NW39" s="13"/>
      <c r="NX39" s="13"/>
      <c r="NY39" s="13"/>
      <c r="NZ39" s="13"/>
      <c r="OA39" s="13"/>
      <c r="OB39" s="13"/>
      <c r="OC39" s="13"/>
      <c r="OD39" s="13"/>
      <c r="OE39" s="13"/>
      <c r="OF39" s="13"/>
      <c r="OG39" s="13"/>
      <c r="OH39" s="13"/>
      <c r="OI39" s="13"/>
      <c r="OJ39" s="8"/>
      <c r="OK39" s="36">
        <f>SUM(NU39:NW39)</f>
        <v>0</v>
      </c>
      <c r="OL39" s="10">
        <f>IFERROR(AVERAGE(NU39:NW39),0)</f>
        <v>0</v>
      </c>
      <c r="OM39" s="10">
        <f>IFERROR(SUM(IY39:MQ39)/COUNTIF(IY39:MQ39, "&gt;0"),0)</f>
        <v>0</v>
      </c>
      <c r="ON39" s="10">
        <f>IFERROR(SUM(MS39:OJ39)/COUNTIF(MS39:OJ39, "&gt;0"),0)</f>
        <v>0</v>
      </c>
      <c r="OO39" s="10">
        <f t="shared" si="8"/>
        <v>159.91304347826087</v>
      </c>
    </row>
    <row r="40" spans="1:406" hidden="1">
      <c r="A40" s="371" t="s">
        <v>34</v>
      </c>
      <c r="B40" s="8" t="s">
        <v>384</v>
      </c>
      <c r="C40" s="372"/>
      <c r="D40" s="372"/>
      <c r="E40" s="372"/>
      <c r="F40" s="372"/>
      <c r="G40" s="372"/>
      <c r="H40" s="372"/>
      <c r="I40" s="372">
        <v>125</v>
      </c>
      <c r="J40" s="372">
        <v>144</v>
      </c>
      <c r="K40" s="372">
        <v>123</v>
      </c>
      <c r="L40" s="357"/>
      <c r="M40" s="357"/>
      <c r="N40" s="357"/>
      <c r="O40" s="357"/>
      <c r="P40" s="357"/>
      <c r="Q40" s="357"/>
      <c r="R40" s="357"/>
      <c r="S40" s="357"/>
      <c r="T40" s="357"/>
      <c r="U40" s="357">
        <v>111</v>
      </c>
      <c r="V40" s="357">
        <v>96</v>
      </c>
      <c r="W40" s="357">
        <v>111</v>
      </c>
      <c r="X40" s="357"/>
      <c r="Y40" s="357"/>
      <c r="Z40" s="357"/>
      <c r="AA40" s="357"/>
      <c r="AB40" s="357"/>
      <c r="AC40" s="357"/>
      <c r="AD40" s="357"/>
      <c r="AE40" s="357"/>
      <c r="AF40" s="357"/>
      <c r="AG40" s="357"/>
      <c r="AH40" s="357"/>
      <c r="AI40" s="357"/>
      <c r="AJ40" s="357"/>
      <c r="AK40" s="357"/>
      <c r="AL40" s="357"/>
      <c r="AM40" s="357"/>
      <c r="AN40" s="357"/>
      <c r="AO40" s="357"/>
      <c r="AP40" s="357"/>
      <c r="AQ40" s="357"/>
      <c r="AR40" s="357"/>
      <c r="AS40" s="357"/>
      <c r="AT40" s="357"/>
      <c r="AU40" s="357"/>
      <c r="AV40" s="357"/>
      <c r="AW40" s="357"/>
      <c r="AX40" s="357"/>
      <c r="AY40" s="357"/>
      <c r="AZ40" s="357"/>
      <c r="BA40" s="357"/>
      <c r="BB40" s="357"/>
      <c r="BC40" s="357"/>
      <c r="BD40" s="357"/>
      <c r="BE40" s="357"/>
      <c r="BF40" s="357"/>
      <c r="BG40" s="357"/>
      <c r="BH40" s="357"/>
      <c r="BI40" s="357"/>
      <c r="BJ40" s="357"/>
      <c r="BK40" s="357"/>
      <c r="BL40" s="357"/>
      <c r="BM40" s="357"/>
      <c r="BN40" s="357"/>
      <c r="BO40" s="357"/>
      <c r="BP40" s="357"/>
      <c r="BQ40" s="357"/>
      <c r="BR40" s="357"/>
      <c r="BS40" s="357"/>
      <c r="BT40" s="357"/>
      <c r="BU40" s="357"/>
      <c r="BV40" s="357"/>
      <c r="BW40" s="357">
        <v>78</v>
      </c>
      <c r="BX40" s="357">
        <v>101</v>
      </c>
      <c r="BY40" s="357">
        <v>93</v>
      </c>
      <c r="BZ40" s="357"/>
      <c r="CA40" s="357"/>
      <c r="CB40" s="357"/>
      <c r="CC40" s="357"/>
      <c r="CD40" s="357"/>
      <c r="CE40" s="357"/>
      <c r="CF40" s="357"/>
      <c r="CG40" s="357"/>
      <c r="CH40" s="357"/>
      <c r="CI40" s="357"/>
      <c r="CJ40" s="357"/>
      <c r="CK40" s="357"/>
      <c r="CL40" s="357"/>
      <c r="CM40" s="357"/>
      <c r="CN40" s="357"/>
      <c r="CO40" s="357"/>
      <c r="CP40" s="357"/>
      <c r="CQ40" s="357"/>
      <c r="CR40" s="357"/>
      <c r="CS40" s="18">
        <v>105</v>
      </c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>
        <v>118</v>
      </c>
      <c r="DY40" s="18">
        <v>95</v>
      </c>
      <c r="DZ40" s="18">
        <v>129</v>
      </c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>
        <v>107</v>
      </c>
      <c r="GS40" s="18">
        <v>93</v>
      </c>
      <c r="GT40" s="18">
        <v>126</v>
      </c>
      <c r="GU40" s="18"/>
      <c r="GV40" s="18"/>
      <c r="GW40" s="18"/>
      <c r="GX40" s="18"/>
      <c r="GY40" s="18"/>
      <c r="GZ40" s="18"/>
      <c r="HA40" s="18">
        <v>115</v>
      </c>
      <c r="HB40" s="18">
        <v>111</v>
      </c>
      <c r="HC40" s="18">
        <v>114</v>
      </c>
      <c r="HD40" s="18"/>
      <c r="HE40" s="18"/>
      <c r="HF40" s="18"/>
      <c r="HG40" s="18"/>
      <c r="HH40" s="18"/>
      <c r="HI40" s="18"/>
      <c r="HJ40" s="18"/>
      <c r="HK40" s="18"/>
      <c r="HL40" s="18"/>
      <c r="HM40" s="18">
        <v>114</v>
      </c>
      <c r="HN40" s="18">
        <v>121</v>
      </c>
      <c r="HO40" s="18">
        <v>126</v>
      </c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  <c r="IW40" s="357"/>
      <c r="IX40" s="18"/>
      <c r="IY40" s="18"/>
      <c r="IZ40" s="18"/>
      <c r="JA40" s="18"/>
      <c r="JB40" s="18"/>
      <c r="JC40" s="18"/>
      <c r="JD40" s="18"/>
      <c r="JE40" s="18"/>
      <c r="JF40" s="18"/>
      <c r="JG40" s="1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371"/>
      <c r="MR40" s="8"/>
      <c r="MS40" s="8"/>
      <c r="MT40" s="8"/>
      <c r="MU40" s="8"/>
      <c r="MV40" s="371"/>
      <c r="MW40" s="371"/>
      <c r="MX40" s="371"/>
      <c r="MY40" s="371"/>
      <c r="MZ40" s="371"/>
      <c r="NA40" s="371"/>
      <c r="NB40" s="371"/>
      <c r="NC40" s="371"/>
      <c r="ND40" s="371"/>
      <c r="NE40" s="371"/>
      <c r="NF40" s="371"/>
      <c r="NG40" s="371"/>
      <c r="NH40" s="371"/>
      <c r="NI40" s="371"/>
      <c r="NJ40" s="371"/>
      <c r="NK40" s="371"/>
      <c r="NL40" s="371"/>
      <c r="NM40" s="371"/>
      <c r="NN40" s="371"/>
      <c r="NO40" s="371"/>
      <c r="NP40" s="371"/>
      <c r="NQ40" s="371"/>
      <c r="NR40" s="371"/>
      <c r="NS40" s="371"/>
      <c r="NT40" s="371"/>
      <c r="NU40" s="371"/>
      <c r="NV40" s="371"/>
      <c r="NW40" s="371"/>
      <c r="NX40" s="371"/>
      <c r="NY40" s="371"/>
      <c r="NZ40" s="371"/>
      <c r="OA40" s="371"/>
      <c r="OB40" s="371"/>
      <c r="OC40" s="371"/>
      <c r="OD40" s="371"/>
      <c r="OE40" s="371"/>
      <c r="OF40" s="371"/>
      <c r="OG40" s="371"/>
      <c r="OH40" s="371"/>
      <c r="OI40" s="371"/>
      <c r="OJ40" s="8"/>
      <c r="OK40" s="36">
        <f>SUM(NU40:NW40)</f>
        <v>0</v>
      </c>
      <c r="OL40" s="10">
        <f>IFERROR(AVERAGE(NU40:NW40),0)</f>
        <v>0</v>
      </c>
      <c r="OM40" s="373">
        <f>IFERROR(SUM(A40:$OJ40)/COUNTIF(A40:$OJ40, "&gt;0"),0)</f>
        <v>111.63636363636364</v>
      </c>
      <c r="ON40" s="373"/>
      <c r="OO40" s="373">
        <f t="shared" si="8"/>
        <v>111.63636363636364</v>
      </c>
    </row>
    <row r="41" spans="1:406" s="256" customFormat="1">
      <c r="A41" s="8" t="s">
        <v>23</v>
      </c>
      <c r="B41" s="8" t="str">
        <f>VLOOKUP(A41,'미니게임_DATA(순)'!$A$4:$B$60,2,0)</f>
        <v>Y</v>
      </c>
      <c r="C41" s="13">
        <v>149</v>
      </c>
      <c r="D41" s="13">
        <v>173</v>
      </c>
      <c r="E41" s="13">
        <v>138</v>
      </c>
      <c r="F41" s="13"/>
      <c r="G41" s="13"/>
      <c r="H41" s="13"/>
      <c r="I41" s="13"/>
      <c r="J41" s="13"/>
      <c r="K41" s="13"/>
      <c r="L41" s="18">
        <v>132</v>
      </c>
      <c r="M41" s="18">
        <v>182</v>
      </c>
      <c r="N41" s="18">
        <v>171</v>
      </c>
      <c r="O41" s="18"/>
      <c r="P41" s="18"/>
      <c r="Q41" s="18"/>
      <c r="R41" s="18">
        <v>111</v>
      </c>
      <c r="S41" s="18">
        <v>165</v>
      </c>
      <c r="T41" s="18">
        <v>189</v>
      </c>
      <c r="U41" s="18"/>
      <c r="V41" s="18"/>
      <c r="W41" s="18"/>
      <c r="X41" s="18"/>
      <c r="Y41" s="18"/>
      <c r="Z41" s="18"/>
      <c r="AA41" s="18">
        <v>161</v>
      </c>
      <c r="AB41" s="18">
        <v>191</v>
      </c>
      <c r="AC41" s="18">
        <v>162</v>
      </c>
      <c r="AD41" s="20">
        <v>211</v>
      </c>
      <c r="AE41" s="18">
        <v>171</v>
      </c>
      <c r="AF41" s="18">
        <v>176</v>
      </c>
      <c r="AG41" s="20"/>
      <c r="AH41" s="18"/>
      <c r="AI41" s="18"/>
      <c r="AJ41" s="20"/>
      <c r="AK41" s="18"/>
      <c r="AL41" s="18"/>
      <c r="AM41" s="22">
        <v>175</v>
      </c>
      <c r="AN41" s="18">
        <v>194</v>
      </c>
      <c r="AO41" s="18">
        <v>142</v>
      </c>
      <c r="AP41" s="18">
        <v>155</v>
      </c>
      <c r="AQ41" s="18">
        <v>147</v>
      </c>
      <c r="AR41" s="18">
        <v>146</v>
      </c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20">
        <v>212</v>
      </c>
      <c r="BR41" s="18">
        <v>134</v>
      </c>
      <c r="BS41" s="18">
        <v>180</v>
      </c>
      <c r="BT41" s="18">
        <v>155</v>
      </c>
      <c r="BU41" s="18">
        <v>139</v>
      </c>
      <c r="BV41" s="18">
        <v>155</v>
      </c>
      <c r="BW41" s="18">
        <v>140</v>
      </c>
      <c r="BX41" s="18">
        <v>146</v>
      </c>
      <c r="BY41" s="18">
        <v>188</v>
      </c>
      <c r="BZ41" s="18"/>
      <c r="CA41" s="18"/>
      <c r="CB41" s="18"/>
      <c r="CC41" s="18"/>
      <c r="CD41" s="18"/>
      <c r="CE41" s="18"/>
      <c r="CF41" s="18"/>
      <c r="CG41" s="18"/>
      <c r="CH41" s="18">
        <v>177</v>
      </c>
      <c r="CI41" s="18">
        <v>188</v>
      </c>
      <c r="CJ41" s="18">
        <v>167</v>
      </c>
      <c r="CK41" s="18">
        <v>134</v>
      </c>
      <c r="CL41" s="18">
        <v>130</v>
      </c>
      <c r="CM41" s="18"/>
      <c r="CN41" s="18"/>
      <c r="CO41" s="18"/>
      <c r="CP41" s="18"/>
      <c r="CQ41" s="18"/>
      <c r="CR41" s="18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>
        <v>183</v>
      </c>
      <c r="DF41" s="407">
        <v>208</v>
      </c>
      <c r="DG41" s="24">
        <v>178</v>
      </c>
      <c r="DH41" s="24">
        <v>171</v>
      </c>
      <c r="DI41" s="407">
        <v>204</v>
      </c>
      <c r="DJ41" s="24">
        <v>163</v>
      </c>
      <c r="DK41" s="24"/>
      <c r="DL41" s="24"/>
      <c r="DM41" s="24"/>
      <c r="DN41" s="24"/>
      <c r="DO41" s="24">
        <v>124</v>
      </c>
      <c r="DP41" s="24">
        <v>157</v>
      </c>
      <c r="DQ41" s="24">
        <v>136</v>
      </c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>
        <v>181</v>
      </c>
      <c r="EJ41" s="407">
        <v>211</v>
      </c>
      <c r="EK41" s="24">
        <v>158</v>
      </c>
      <c r="EL41" s="24"/>
      <c r="EM41" s="24">
        <v>181</v>
      </c>
      <c r="EN41" s="24">
        <v>147</v>
      </c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>
        <v>176</v>
      </c>
      <c r="FC41" s="24">
        <v>116</v>
      </c>
      <c r="FD41" s="24">
        <v>163</v>
      </c>
      <c r="FE41" s="24">
        <v>167</v>
      </c>
      <c r="FF41" s="24">
        <v>191</v>
      </c>
      <c r="FG41" s="24">
        <v>184</v>
      </c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>
        <v>165</v>
      </c>
      <c r="FZ41" s="24">
        <v>173</v>
      </c>
      <c r="GA41" s="24">
        <v>143</v>
      </c>
      <c r="GB41" s="24"/>
      <c r="GC41" s="24">
        <v>161</v>
      </c>
      <c r="GD41" s="24">
        <v>186</v>
      </c>
      <c r="GE41" s="24">
        <v>157</v>
      </c>
      <c r="GF41" s="24"/>
      <c r="GG41" s="24"/>
      <c r="GH41" s="24"/>
      <c r="GI41" s="24"/>
      <c r="GJ41" s="24"/>
      <c r="GK41" s="24"/>
      <c r="GL41" s="24"/>
      <c r="GM41" s="24"/>
      <c r="GN41" s="24"/>
      <c r="GO41" s="24">
        <v>158</v>
      </c>
      <c r="GP41" s="24">
        <v>169</v>
      </c>
      <c r="GQ41" s="24">
        <v>188</v>
      </c>
      <c r="GR41" s="24"/>
      <c r="GS41" s="24"/>
      <c r="GT41" s="24"/>
      <c r="GU41" s="24"/>
      <c r="GV41" s="24"/>
      <c r="GW41" s="24"/>
      <c r="GX41" s="24"/>
      <c r="GY41" s="24"/>
      <c r="GZ41" s="24"/>
      <c r="HA41" s="24">
        <v>142</v>
      </c>
      <c r="HB41" s="24">
        <v>182</v>
      </c>
      <c r="HC41" s="24">
        <v>173</v>
      </c>
      <c r="HD41" s="24"/>
      <c r="HE41" s="24"/>
      <c r="HF41" s="24"/>
      <c r="HG41" s="24"/>
      <c r="HH41" s="24"/>
      <c r="HI41" s="24"/>
      <c r="HJ41" s="24"/>
      <c r="HK41" s="24"/>
      <c r="HL41" s="24"/>
      <c r="HM41" s="24">
        <v>144</v>
      </c>
      <c r="HN41" s="24">
        <v>130</v>
      </c>
      <c r="HO41" s="24">
        <v>172</v>
      </c>
      <c r="HP41" s="24"/>
      <c r="HQ41" s="24"/>
      <c r="HR41" s="24"/>
      <c r="HS41" s="24"/>
      <c r="HT41" s="24"/>
      <c r="HU41" s="24"/>
      <c r="HV41" s="24"/>
      <c r="HW41" s="24"/>
      <c r="HX41" s="24"/>
      <c r="HY41" s="422">
        <v>137</v>
      </c>
      <c r="HZ41" s="422">
        <v>180</v>
      </c>
      <c r="IA41" s="422">
        <v>222</v>
      </c>
      <c r="IB41" s="24"/>
      <c r="IC41" s="24"/>
      <c r="ID41" s="24"/>
      <c r="IE41" s="24"/>
      <c r="IF41" s="24"/>
      <c r="IG41" s="24"/>
      <c r="IH41" s="24"/>
      <c r="II41" s="24"/>
      <c r="IJ41" s="24"/>
      <c r="IK41" s="24">
        <v>145</v>
      </c>
      <c r="IL41" s="24">
        <v>171</v>
      </c>
      <c r="IM41" s="24">
        <v>182</v>
      </c>
      <c r="IN41" s="24"/>
      <c r="IO41" s="24"/>
      <c r="IP41" s="24"/>
      <c r="IQ41" s="24"/>
      <c r="IR41" s="24"/>
      <c r="IS41" s="24"/>
      <c r="IT41" s="24"/>
      <c r="IU41" s="24"/>
      <c r="IV41" s="24"/>
      <c r="IW41" s="18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313"/>
      <c r="JI41" s="313"/>
      <c r="JJ41" s="313"/>
      <c r="JK41" s="313"/>
      <c r="JL41" s="313"/>
      <c r="JM41" s="313"/>
      <c r="JN41" s="313"/>
      <c r="JO41" s="313"/>
      <c r="JP41" s="313"/>
      <c r="JQ41" s="313"/>
      <c r="JR41" s="313"/>
      <c r="JS41" s="313"/>
      <c r="JT41" s="313"/>
      <c r="JU41" s="313"/>
      <c r="JV41" s="313"/>
      <c r="JW41" s="313"/>
      <c r="JX41" s="313"/>
      <c r="JY41" s="313"/>
      <c r="JZ41" s="313"/>
      <c r="KA41" s="313"/>
      <c r="KB41" s="313"/>
      <c r="KC41" s="313"/>
      <c r="KD41" s="313"/>
      <c r="KE41" s="313"/>
      <c r="KF41" s="313"/>
      <c r="KG41" s="313"/>
      <c r="KH41" s="313"/>
      <c r="KI41" s="313"/>
      <c r="KJ41" s="313"/>
      <c r="KK41" s="313"/>
      <c r="KL41" s="313"/>
      <c r="KM41" s="313"/>
      <c r="KN41" s="313"/>
      <c r="KO41" s="313"/>
      <c r="KP41" s="313"/>
      <c r="KQ41" s="313"/>
      <c r="KR41" s="313"/>
      <c r="KS41" s="313"/>
      <c r="KT41" s="313"/>
      <c r="KU41" s="313"/>
      <c r="KV41" s="313"/>
      <c r="KW41" s="313"/>
      <c r="KX41" s="313"/>
      <c r="KY41" s="313"/>
      <c r="KZ41" s="313"/>
      <c r="LA41" s="313"/>
      <c r="LB41" s="313"/>
      <c r="LC41" s="313"/>
      <c r="LD41" s="313"/>
      <c r="LE41" s="313"/>
      <c r="LF41" s="313"/>
      <c r="LG41" s="313"/>
      <c r="LH41" s="313"/>
      <c r="LI41" s="313"/>
      <c r="LJ41" s="313"/>
      <c r="LK41" s="313"/>
      <c r="LL41" s="313"/>
      <c r="LM41" s="313"/>
      <c r="LN41" s="313"/>
      <c r="LO41" s="313"/>
      <c r="LP41" s="313"/>
      <c r="LQ41" s="313"/>
      <c r="LR41" s="313"/>
      <c r="LS41" s="313"/>
      <c r="LT41" s="313"/>
      <c r="LU41" s="313"/>
      <c r="LV41" s="313"/>
      <c r="LW41" s="313"/>
      <c r="LX41" s="313"/>
      <c r="LY41" s="313"/>
      <c r="LZ41" s="313"/>
      <c r="MA41" s="313"/>
      <c r="MB41" s="313"/>
      <c r="MC41" s="313"/>
      <c r="MD41" s="313"/>
      <c r="ME41" s="313"/>
      <c r="MF41" s="313"/>
      <c r="MG41" s="313"/>
      <c r="MH41" s="242"/>
      <c r="MI41" s="242"/>
      <c r="MJ41" s="242"/>
      <c r="MK41" s="13"/>
      <c r="ML41" s="13"/>
      <c r="MM41" s="13"/>
      <c r="MN41" s="13"/>
      <c r="MO41" s="13"/>
      <c r="MP41" s="13"/>
      <c r="MQ41" s="13"/>
      <c r="MR41" s="369"/>
      <c r="MS41" s="13"/>
      <c r="MT41" s="13"/>
      <c r="MU41" s="13"/>
      <c r="MV41" s="13"/>
      <c r="MW41" s="13"/>
      <c r="MX41" s="13"/>
      <c r="MY41" s="13"/>
      <c r="MZ41" s="13"/>
      <c r="NA41" s="13"/>
      <c r="NB41" s="369"/>
      <c r="NC41" s="369"/>
      <c r="ND41" s="369"/>
      <c r="NE41" s="369"/>
      <c r="NF41" s="369"/>
      <c r="NG41" s="369"/>
      <c r="NH41" s="369"/>
      <c r="NI41" s="369"/>
      <c r="NJ41" s="369"/>
      <c r="NK41" s="369"/>
      <c r="NL41" s="369"/>
      <c r="NM41" s="369"/>
      <c r="NN41" s="369"/>
      <c r="NO41" s="369"/>
      <c r="NP41" s="369"/>
      <c r="NQ41" s="369"/>
      <c r="NR41" s="369"/>
      <c r="NS41" s="369"/>
      <c r="NT41" s="369"/>
      <c r="NU41" s="369"/>
      <c r="NV41" s="369"/>
      <c r="NW41" s="369"/>
      <c r="NX41" s="369"/>
      <c r="NY41" s="369"/>
      <c r="NZ41" s="369"/>
      <c r="OA41" s="369"/>
      <c r="OB41" s="369"/>
      <c r="OC41" s="369"/>
      <c r="OD41" s="369"/>
      <c r="OE41" s="369"/>
      <c r="OF41" s="369"/>
      <c r="OG41" s="369"/>
      <c r="OH41" s="369"/>
      <c r="OI41" s="369"/>
      <c r="OJ41" s="370"/>
      <c r="OK41" s="36">
        <f t="shared" ref="OK41:OK51" si="10">SUM(OG41:OI41)</f>
        <v>0</v>
      </c>
      <c r="OL41" s="10">
        <f t="shared" ref="OL41:OL51" si="11">IFERROR(AVERAGE(OG41:OI41),0)</f>
        <v>0</v>
      </c>
      <c r="OM41" s="10">
        <f t="shared" ref="OM41:OM51" si="12">IFERROR(SUM(IY41:MQ41)/COUNTIF(IY41:MQ41, "&gt;0"),0)</f>
        <v>0</v>
      </c>
      <c r="ON41" s="10">
        <f t="shared" ref="ON41:ON51" si="13">IFERROR(SUM(MS41:OJ41)/COUNTIF(MS41:OJ41, "&gt;0"),0)</f>
        <v>0</v>
      </c>
      <c r="OO41" s="10">
        <f t="shared" si="8"/>
        <v>165.32894736842104</v>
      </c>
      <c r="OP41" s="375"/>
    </row>
    <row r="42" spans="1:406" s="256" customFormat="1">
      <c r="A42" s="8" t="s">
        <v>15</v>
      </c>
      <c r="B42" s="8" t="str">
        <f>VLOOKUP(A42,'미니게임_DATA(순)'!$A$4:$B$60,2,0)</f>
        <v>Y</v>
      </c>
      <c r="C42" s="13"/>
      <c r="D42" s="13"/>
      <c r="E42" s="13"/>
      <c r="F42" s="13">
        <v>124</v>
      </c>
      <c r="G42" s="13">
        <v>159</v>
      </c>
      <c r="H42" s="13">
        <v>149</v>
      </c>
      <c r="I42" s="13"/>
      <c r="J42" s="13"/>
      <c r="K42" s="13"/>
      <c r="L42" s="18"/>
      <c r="M42" s="18"/>
      <c r="N42" s="18"/>
      <c r="O42" s="18"/>
      <c r="P42" s="18"/>
      <c r="Q42" s="18"/>
      <c r="R42" s="18"/>
      <c r="S42" s="18"/>
      <c r="T42" s="18"/>
      <c r="U42" s="18">
        <v>134</v>
      </c>
      <c r="V42" s="18">
        <v>122</v>
      </c>
      <c r="W42" s="18">
        <v>120</v>
      </c>
      <c r="X42" s="18"/>
      <c r="Y42" s="18"/>
      <c r="Z42" s="18"/>
      <c r="AA42" s="18">
        <v>147</v>
      </c>
      <c r="AB42" s="18">
        <v>150</v>
      </c>
      <c r="AC42" s="18">
        <v>124</v>
      </c>
      <c r="AD42" s="18">
        <v>170</v>
      </c>
      <c r="AE42" s="18">
        <v>132</v>
      </c>
      <c r="AF42" s="18">
        <v>162</v>
      </c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>
        <v>149</v>
      </c>
      <c r="AR42" s="18">
        <v>145</v>
      </c>
      <c r="AS42" s="18"/>
      <c r="AT42" s="18"/>
      <c r="AU42" s="18"/>
      <c r="AV42" s="18"/>
      <c r="AW42" s="18"/>
      <c r="AX42" s="18"/>
      <c r="AY42" s="18"/>
      <c r="AZ42" s="18">
        <v>159</v>
      </c>
      <c r="BA42" s="18">
        <v>134</v>
      </c>
      <c r="BB42" s="18">
        <v>186</v>
      </c>
      <c r="BC42" s="18">
        <v>182</v>
      </c>
      <c r="BD42" s="18">
        <v>198</v>
      </c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>
        <v>138</v>
      </c>
      <c r="BR42" s="18">
        <v>135</v>
      </c>
      <c r="BS42" s="18">
        <v>132</v>
      </c>
      <c r="BT42" s="18">
        <v>186</v>
      </c>
      <c r="BU42" s="18">
        <v>141</v>
      </c>
      <c r="BV42" s="18">
        <v>168</v>
      </c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>
        <v>144</v>
      </c>
      <c r="CI42" s="18">
        <v>100</v>
      </c>
      <c r="CJ42" s="18">
        <v>117</v>
      </c>
      <c r="CK42" s="18">
        <v>184</v>
      </c>
      <c r="CL42" s="18">
        <v>179</v>
      </c>
      <c r="CM42" s="18"/>
      <c r="CN42" s="18"/>
      <c r="CO42" s="18"/>
      <c r="CP42" s="18"/>
      <c r="CQ42" s="18"/>
      <c r="CR42" s="18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>
        <v>145</v>
      </c>
      <c r="DF42" s="24">
        <v>179</v>
      </c>
      <c r="DG42" s="24">
        <v>183</v>
      </c>
      <c r="DH42" s="24">
        <v>172</v>
      </c>
      <c r="DI42" s="24">
        <v>150</v>
      </c>
      <c r="DJ42" s="24">
        <v>175</v>
      </c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>
        <v>192</v>
      </c>
      <c r="DY42" s="24">
        <v>193</v>
      </c>
      <c r="DZ42" s="24">
        <v>165</v>
      </c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>
        <v>181</v>
      </c>
      <c r="EN42" s="24">
        <v>185</v>
      </c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407">
        <v>210</v>
      </c>
      <c r="FC42" s="24">
        <v>172</v>
      </c>
      <c r="FD42" s="24">
        <v>124</v>
      </c>
      <c r="FE42" s="24">
        <v>168</v>
      </c>
      <c r="FF42" s="24">
        <v>183</v>
      </c>
      <c r="FG42" s="24">
        <v>193</v>
      </c>
      <c r="FH42" s="24">
        <v>146</v>
      </c>
      <c r="FI42" s="24">
        <v>146</v>
      </c>
      <c r="FJ42" s="24">
        <v>165</v>
      </c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>
        <v>143</v>
      </c>
      <c r="FW42" s="24">
        <v>146</v>
      </c>
      <c r="FX42" s="24"/>
      <c r="FY42" s="24"/>
      <c r="FZ42" s="24"/>
      <c r="GA42" s="24"/>
      <c r="GB42" s="24"/>
      <c r="GC42" s="24">
        <v>158</v>
      </c>
      <c r="GD42" s="24">
        <v>129</v>
      </c>
      <c r="GE42" s="24">
        <v>152</v>
      </c>
      <c r="GF42" s="24"/>
      <c r="GG42" s="24"/>
      <c r="GH42" s="24"/>
      <c r="GI42" s="24"/>
      <c r="GJ42" s="24"/>
      <c r="GK42" s="24"/>
      <c r="GL42" s="24">
        <v>161</v>
      </c>
      <c r="GM42" s="24">
        <v>150</v>
      </c>
      <c r="GN42" s="24">
        <v>177</v>
      </c>
      <c r="GO42" s="24">
        <v>163</v>
      </c>
      <c r="GP42" s="24">
        <v>143</v>
      </c>
      <c r="GQ42" s="24">
        <v>141</v>
      </c>
      <c r="GR42" s="24"/>
      <c r="GS42" s="24"/>
      <c r="GT42" s="24"/>
      <c r="GU42" s="24">
        <v>127</v>
      </c>
      <c r="GV42" s="24">
        <v>155</v>
      </c>
      <c r="GW42" s="24">
        <v>144</v>
      </c>
      <c r="GX42" s="24"/>
      <c r="GY42" s="24"/>
      <c r="GZ42" s="24"/>
      <c r="HA42" s="24">
        <v>148</v>
      </c>
      <c r="HB42" s="24">
        <v>129</v>
      </c>
      <c r="HC42" s="24">
        <v>171</v>
      </c>
      <c r="HD42" s="24"/>
      <c r="HE42" s="24"/>
      <c r="HF42" s="24"/>
      <c r="HG42" s="24"/>
      <c r="HH42" s="24"/>
      <c r="HI42" s="24"/>
      <c r="HJ42" s="24">
        <v>137</v>
      </c>
      <c r="HK42" s="24">
        <v>156</v>
      </c>
      <c r="HL42" s="24">
        <v>182</v>
      </c>
      <c r="HM42" s="24">
        <v>148</v>
      </c>
      <c r="HN42" s="24">
        <v>151</v>
      </c>
      <c r="HO42" s="24">
        <v>146</v>
      </c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>
        <v>140</v>
      </c>
      <c r="IC42" s="24">
        <v>100</v>
      </c>
      <c r="ID42" s="24">
        <v>159</v>
      </c>
      <c r="IE42" s="24"/>
      <c r="IF42" s="24"/>
      <c r="IG42" s="24"/>
      <c r="IH42" s="24"/>
      <c r="II42" s="24"/>
      <c r="IJ42" s="24"/>
      <c r="IK42" s="24">
        <v>164</v>
      </c>
      <c r="IL42" s="24">
        <v>157</v>
      </c>
      <c r="IM42" s="24">
        <v>147</v>
      </c>
      <c r="IN42" s="24"/>
      <c r="IO42" s="24"/>
      <c r="IP42" s="24"/>
      <c r="IQ42" s="24"/>
      <c r="IR42" s="24"/>
      <c r="IS42" s="24"/>
      <c r="IT42" s="24"/>
      <c r="IU42" s="24"/>
      <c r="IV42" s="24"/>
      <c r="IW42" s="18"/>
      <c r="IX42" s="24"/>
      <c r="IY42" s="24"/>
      <c r="IZ42" s="24">
        <v>155</v>
      </c>
      <c r="JA42" s="24">
        <v>225</v>
      </c>
      <c r="JB42" s="24"/>
      <c r="JC42" s="24"/>
      <c r="JD42" s="24"/>
      <c r="JE42" s="24"/>
      <c r="JF42" s="24"/>
      <c r="JG42" s="24"/>
      <c r="JH42" s="313"/>
      <c r="JI42" s="313"/>
      <c r="JJ42" s="313"/>
      <c r="JK42" s="313"/>
      <c r="JL42" s="313"/>
      <c r="JM42" s="313"/>
      <c r="JN42" s="313">
        <v>156</v>
      </c>
      <c r="JO42" s="313">
        <v>172</v>
      </c>
      <c r="JP42" s="313">
        <v>177</v>
      </c>
      <c r="JQ42" s="313"/>
      <c r="JR42" s="313"/>
      <c r="JS42" s="313"/>
      <c r="JT42" s="313"/>
      <c r="JU42" s="313"/>
      <c r="JV42" s="313"/>
      <c r="JW42" s="313"/>
      <c r="JX42" s="313"/>
      <c r="JY42" s="313"/>
      <c r="JZ42" s="313"/>
      <c r="KA42" s="313"/>
      <c r="KB42" s="313"/>
      <c r="KC42" s="313"/>
      <c r="KD42" s="313"/>
      <c r="KE42" s="313"/>
      <c r="KF42" s="313"/>
      <c r="KG42" s="313"/>
      <c r="KH42" s="313"/>
      <c r="KI42" s="313"/>
      <c r="KJ42" s="313"/>
      <c r="KK42" s="313"/>
      <c r="KL42" s="313"/>
      <c r="KM42" s="313"/>
      <c r="KN42" s="313"/>
      <c r="KO42" s="313"/>
      <c r="KP42" s="313"/>
      <c r="KQ42" s="313"/>
      <c r="KR42" s="313"/>
      <c r="KS42" s="313"/>
      <c r="KT42" s="313"/>
      <c r="KU42" s="313"/>
      <c r="KV42" s="313"/>
      <c r="KW42" s="313"/>
      <c r="KX42" s="313"/>
      <c r="KY42" s="313"/>
      <c r="KZ42" s="313"/>
      <c r="LA42" s="313"/>
      <c r="LB42" s="313"/>
      <c r="LC42" s="313"/>
      <c r="LD42" s="313">
        <v>185</v>
      </c>
      <c r="LE42" s="313">
        <v>186</v>
      </c>
      <c r="LF42" s="313">
        <v>132</v>
      </c>
      <c r="LG42" s="313"/>
      <c r="LH42" s="313"/>
      <c r="LI42" s="313"/>
      <c r="LJ42" s="313"/>
      <c r="LK42" s="313"/>
      <c r="LL42" s="313"/>
      <c r="LM42" s="313"/>
      <c r="LN42" s="313"/>
      <c r="LO42" s="313"/>
      <c r="LP42" s="313"/>
      <c r="LQ42" s="313"/>
      <c r="LR42" s="313"/>
      <c r="LS42" s="313"/>
      <c r="LT42" s="313"/>
      <c r="LU42" s="313"/>
      <c r="LV42" s="313"/>
      <c r="LW42" s="313"/>
      <c r="LX42" s="313"/>
      <c r="LY42" s="313"/>
      <c r="LZ42" s="313"/>
      <c r="MA42" s="313"/>
      <c r="MB42" s="313"/>
      <c r="MC42" s="313"/>
      <c r="MD42" s="313"/>
      <c r="ME42" s="313"/>
      <c r="MF42" s="313"/>
      <c r="MG42" s="313"/>
      <c r="MH42" s="242"/>
      <c r="MI42" s="242"/>
      <c r="MJ42" s="242"/>
      <c r="MK42" s="242"/>
      <c r="ML42" s="242"/>
      <c r="MM42" s="242"/>
      <c r="MN42" s="242"/>
      <c r="MO42" s="242"/>
      <c r="MP42" s="242"/>
      <c r="MQ42" s="13"/>
      <c r="MR42" s="13"/>
      <c r="MS42" s="13"/>
      <c r="MT42" s="13"/>
      <c r="MU42" s="13"/>
      <c r="MV42" s="13"/>
      <c r="MW42" s="13"/>
      <c r="MX42" s="13"/>
      <c r="MY42" s="13"/>
      <c r="MZ42" s="13"/>
      <c r="NA42" s="13"/>
      <c r="NB42" s="369"/>
      <c r="NC42" s="369"/>
      <c r="ND42" s="369"/>
      <c r="NE42" s="369"/>
      <c r="NF42" s="369"/>
      <c r="NG42" s="369"/>
      <c r="NH42" s="369"/>
      <c r="NI42" s="369"/>
      <c r="NJ42" s="369"/>
      <c r="NK42" s="369"/>
      <c r="NL42" s="369"/>
      <c r="NM42" s="369"/>
      <c r="NN42" s="369"/>
      <c r="NO42" s="369"/>
      <c r="NP42" s="369"/>
      <c r="NQ42" s="369"/>
      <c r="NR42" s="369"/>
      <c r="NS42" s="369"/>
      <c r="NT42" s="369"/>
      <c r="NU42" s="369"/>
      <c r="NV42" s="369"/>
      <c r="NW42" s="369"/>
      <c r="NX42" s="369"/>
      <c r="NY42" s="369"/>
      <c r="NZ42" s="369"/>
      <c r="OA42" s="369"/>
      <c r="OB42" s="369"/>
      <c r="OC42" s="369"/>
      <c r="OD42" s="369"/>
      <c r="OE42" s="369"/>
      <c r="OF42" s="369"/>
      <c r="OG42" s="369"/>
      <c r="OH42" s="369"/>
      <c r="OI42" s="369"/>
      <c r="OJ42" s="370"/>
      <c r="OK42" s="36">
        <f t="shared" si="10"/>
        <v>0</v>
      </c>
      <c r="OL42" s="10">
        <f t="shared" si="11"/>
        <v>0</v>
      </c>
      <c r="OM42" s="10">
        <f t="shared" si="12"/>
        <v>173.5</v>
      </c>
      <c r="ON42" s="10">
        <f t="shared" si="13"/>
        <v>0</v>
      </c>
      <c r="OO42" s="10">
        <f t="shared" si="8"/>
        <v>156.42528735632183</v>
      </c>
      <c r="OP42" s="375"/>
    </row>
    <row r="43" spans="1:406" s="256" customFormat="1">
      <c r="A43" s="8" t="s">
        <v>16</v>
      </c>
      <c r="B43" s="8" t="str">
        <f>VLOOKUP(A43,'미니게임_DATA(순)'!$A$4:$B$60,2,0)</f>
        <v>Y</v>
      </c>
      <c r="C43" s="13"/>
      <c r="D43" s="13"/>
      <c r="E43" s="13"/>
      <c r="F43" s="13"/>
      <c r="G43" s="13"/>
      <c r="H43" s="13"/>
      <c r="I43" s="13"/>
      <c r="J43" s="13"/>
      <c r="K43" s="13"/>
      <c r="L43" s="18"/>
      <c r="M43" s="18"/>
      <c r="N43" s="18"/>
      <c r="O43" s="18"/>
      <c r="P43" s="18">
        <v>141</v>
      </c>
      <c r="Q43" s="18">
        <v>144</v>
      </c>
      <c r="R43" s="18">
        <v>144</v>
      </c>
      <c r="S43" s="18">
        <v>136</v>
      </c>
      <c r="T43" s="18">
        <v>151</v>
      </c>
      <c r="U43" s="18">
        <v>133</v>
      </c>
      <c r="V43" s="18">
        <v>163</v>
      </c>
      <c r="W43" s="18">
        <v>134</v>
      </c>
      <c r="X43" s="18"/>
      <c r="Y43" s="18"/>
      <c r="Z43" s="18"/>
      <c r="AA43" s="18">
        <v>155</v>
      </c>
      <c r="AB43" s="18">
        <v>169</v>
      </c>
      <c r="AC43" s="18">
        <v>148</v>
      </c>
      <c r="AD43" s="18">
        <v>158</v>
      </c>
      <c r="AE43" s="18">
        <v>139</v>
      </c>
      <c r="AF43" s="18">
        <v>156</v>
      </c>
      <c r="AG43" s="18">
        <v>159</v>
      </c>
      <c r="AH43" s="18">
        <v>143</v>
      </c>
      <c r="AI43" s="18">
        <v>139</v>
      </c>
      <c r="AJ43" s="18">
        <v>154</v>
      </c>
      <c r="AK43" s="18">
        <v>165</v>
      </c>
      <c r="AL43" s="18">
        <v>126</v>
      </c>
      <c r="AM43" s="18">
        <v>140</v>
      </c>
      <c r="AN43" s="18">
        <v>193</v>
      </c>
      <c r="AO43" s="18">
        <v>171</v>
      </c>
      <c r="AP43" s="18"/>
      <c r="AQ43" s="18">
        <v>139</v>
      </c>
      <c r="AR43" s="18">
        <v>128</v>
      </c>
      <c r="AS43" s="18"/>
      <c r="AT43" s="18"/>
      <c r="AU43" s="18"/>
      <c r="AV43" s="18">
        <v>183</v>
      </c>
      <c r="AW43" s="20">
        <v>204</v>
      </c>
      <c r="AX43" s="18">
        <v>136</v>
      </c>
      <c r="AY43" s="18"/>
      <c r="AZ43" s="18"/>
      <c r="BA43" s="18"/>
      <c r="BB43" s="18"/>
      <c r="BC43" s="18"/>
      <c r="BD43" s="18"/>
      <c r="BE43" s="18">
        <v>140</v>
      </c>
      <c r="BF43" s="18">
        <v>152</v>
      </c>
      <c r="BG43" s="18">
        <v>144</v>
      </c>
      <c r="BH43" s="18"/>
      <c r="BI43" s="18"/>
      <c r="BJ43" s="18"/>
      <c r="BK43" s="18"/>
      <c r="BL43" s="18">
        <v>142</v>
      </c>
      <c r="BM43" s="18">
        <v>145</v>
      </c>
      <c r="BN43" s="18">
        <v>177</v>
      </c>
      <c r="BO43" s="18">
        <v>117</v>
      </c>
      <c r="BP43" s="18"/>
      <c r="BQ43" s="18"/>
      <c r="BR43" s="18"/>
      <c r="BS43" s="18"/>
      <c r="BT43" s="18"/>
      <c r="BU43" s="18"/>
      <c r="BV43" s="18"/>
      <c r="BW43" s="18">
        <v>192</v>
      </c>
      <c r="BX43" s="18">
        <v>135</v>
      </c>
      <c r="BY43" s="18">
        <v>125</v>
      </c>
      <c r="BZ43" s="18">
        <v>168</v>
      </c>
      <c r="CA43" s="18"/>
      <c r="CB43" s="18"/>
      <c r="CC43" s="18"/>
      <c r="CD43" s="18">
        <v>148</v>
      </c>
      <c r="CE43" s="18">
        <v>190</v>
      </c>
      <c r="CF43" s="18">
        <v>137</v>
      </c>
      <c r="CG43" s="18">
        <v>142</v>
      </c>
      <c r="CH43" s="18"/>
      <c r="CI43" s="18"/>
      <c r="CJ43" s="18"/>
      <c r="CK43" s="18">
        <v>157</v>
      </c>
      <c r="CL43" s="18">
        <v>190</v>
      </c>
      <c r="CM43" s="18"/>
      <c r="CN43" s="18"/>
      <c r="CO43" s="18"/>
      <c r="CP43" s="18"/>
      <c r="CQ43" s="18"/>
      <c r="CR43" s="18"/>
      <c r="CS43" s="24">
        <v>156</v>
      </c>
      <c r="CT43" s="24">
        <v>182</v>
      </c>
      <c r="CU43" s="24">
        <v>180</v>
      </c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>
        <v>171</v>
      </c>
      <c r="DI43" s="24">
        <v>136</v>
      </c>
      <c r="DJ43" s="24">
        <v>199</v>
      </c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>
        <v>162</v>
      </c>
      <c r="DY43" s="24">
        <v>160</v>
      </c>
      <c r="DZ43" s="24">
        <v>179</v>
      </c>
      <c r="EA43" s="24"/>
      <c r="EB43" s="24"/>
      <c r="EC43" s="24"/>
      <c r="ED43" s="24"/>
      <c r="EE43" s="24"/>
      <c r="EF43" s="24"/>
      <c r="EG43" s="24"/>
      <c r="EH43" s="24"/>
      <c r="EI43" s="24">
        <v>143</v>
      </c>
      <c r="EJ43" s="407">
        <v>221</v>
      </c>
      <c r="EK43" s="24">
        <v>155</v>
      </c>
      <c r="EL43" s="24">
        <v>179</v>
      </c>
      <c r="EM43" s="24">
        <v>195</v>
      </c>
      <c r="EN43" s="24">
        <v>190</v>
      </c>
      <c r="EO43" s="24">
        <v>158</v>
      </c>
      <c r="EP43" s="407">
        <v>221</v>
      </c>
      <c r="EQ43" s="24">
        <v>176</v>
      </c>
      <c r="ER43" s="24">
        <v>129</v>
      </c>
      <c r="ES43" s="24"/>
      <c r="ET43" s="24"/>
      <c r="EU43" s="24"/>
      <c r="EV43" s="24"/>
      <c r="EW43" s="24"/>
      <c r="EX43" s="24"/>
      <c r="EY43" s="24"/>
      <c r="EZ43" s="24"/>
      <c r="FA43" s="24"/>
      <c r="FB43" s="407">
        <v>212</v>
      </c>
      <c r="FC43" s="24">
        <v>144</v>
      </c>
      <c r="FD43" s="24">
        <v>165</v>
      </c>
      <c r="FE43" s="24">
        <v>127</v>
      </c>
      <c r="FF43" s="24">
        <v>136</v>
      </c>
      <c r="FG43" s="24">
        <v>162</v>
      </c>
      <c r="FH43" s="24"/>
      <c r="FI43" s="24"/>
      <c r="FJ43" s="24"/>
      <c r="FK43" s="24"/>
      <c r="FL43" s="24"/>
      <c r="FM43" s="24"/>
      <c r="FN43" s="24">
        <v>169</v>
      </c>
      <c r="FO43" s="24">
        <v>148</v>
      </c>
      <c r="FP43" s="24">
        <v>134</v>
      </c>
      <c r="FQ43" s="24">
        <v>162</v>
      </c>
      <c r="FR43" s="407">
        <v>236</v>
      </c>
      <c r="FS43" s="24"/>
      <c r="FT43" s="24"/>
      <c r="FU43" s="24"/>
      <c r="FV43" s="24"/>
      <c r="FW43" s="24"/>
      <c r="FX43" s="24"/>
      <c r="FY43" s="24">
        <v>135</v>
      </c>
      <c r="FZ43" s="407">
        <v>212</v>
      </c>
      <c r="GA43" s="24">
        <v>123</v>
      </c>
      <c r="GB43" s="24"/>
      <c r="GC43" s="24">
        <v>141</v>
      </c>
      <c r="GD43" s="24">
        <v>146</v>
      </c>
      <c r="GE43" s="24">
        <v>142</v>
      </c>
      <c r="GF43" s="24"/>
      <c r="GG43" s="24"/>
      <c r="GH43" s="24"/>
      <c r="GI43" s="24">
        <v>189</v>
      </c>
      <c r="GJ43" s="24">
        <v>165</v>
      </c>
      <c r="GK43" s="24">
        <v>158</v>
      </c>
      <c r="GL43" s="24"/>
      <c r="GM43" s="24"/>
      <c r="GN43" s="24"/>
      <c r="GO43" s="24"/>
      <c r="GP43" s="24"/>
      <c r="GQ43" s="24"/>
      <c r="GR43" s="24">
        <v>175</v>
      </c>
      <c r="GS43" s="24">
        <v>136</v>
      </c>
      <c r="GT43" s="24">
        <v>137</v>
      </c>
      <c r="GU43" s="24">
        <v>206</v>
      </c>
      <c r="GV43" s="24">
        <v>184</v>
      </c>
      <c r="GW43" s="24">
        <v>143</v>
      </c>
      <c r="GX43" s="24"/>
      <c r="GY43" s="24"/>
      <c r="GZ43" s="24"/>
      <c r="HA43" s="24">
        <v>158</v>
      </c>
      <c r="HB43" s="24">
        <v>110</v>
      </c>
      <c r="HC43" s="24">
        <v>160</v>
      </c>
      <c r="HD43" s="24">
        <v>111</v>
      </c>
      <c r="HE43" s="24">
        <v>113</v>
      </c>
      <c r="HF43" s="24">
        <v>157</v>
      </c>
      <c r="HG43" s="24"/>
      <c r="HH43" s="24"/>
      <c r="HI43" s="24"/>
      <c r="HJ43" s="24">
        <v>125</v>
      </c>
      <c r="HK43" s="24">
        <v>113</v>
      </c>
      <c r="HL43" s="24">
        <v>141</v>
      </c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422">
        <v>136</v>
      </c>
      <c r="HZ43" s="422">
        <v>158</v>
      </c>
      <c r="IA43" s="422">
        <v>108</v>
      </c>
      <c r="IB43" s="24"/>
      <c r="IC43" s="24"/>
      <c r="ID43" s="24"/>
      <c r="IE43" s="24"/>
      <c r="IF43" s="24"/>
      <c r="IG43" s="24"/>
      <c r="IH43" s="24"/>
      <c r="II43" s="24"/>
      <c r="IJ43" s="24"/>
      <c r="IK43" s="24">
        <v>138</v>
      </c>
      <c r="IL43" s="24">
        <v>144</v>
      </c>
      <c r="IM43" s="24">
        <v>134</v>
      </c>
      <c r="IN43" s="24"/>
      <c r="IO43" s="24"/>
      <c r="IP43" s="24"/>
      <c r="IQ43" s="24">
        <v>128</v>
      </c>
      <c r="IR43" s="24">
        <v>135</v>
      </c>
      <c r="IS43" s="24">
        <v>163</v>
      </c>
      <c r="IT43" s="24"/>
      <c r="IU43" s="24"/>
      <c r="IV43" s="24"/>
      <c r="IW43" s="18"/>
      <c r="IX43" s="24"/>
      <c r="IY43" s="24"/>
      <c r="IZ43" s="24">
        <v>181</v>
      </c>
      <c r="JA43" s="24">
        <v>192</v>
      </c>
      <c r="JB43" s="24"/>
      <c r="JC43" s="24"/>
      <c r="JD43" s="24"/>
      <c r="JE43" s="24"/>
      <c r="JF43" s="24"/>
      <c r="JG43" s="24"/>
      <c r="JH43" s="313"/>
      <c r="JI43" s="313"/>
      <c r="JJ43" s="313"/>
      <c r="JK43" s="313">
        <v>135</v>
      </c>
      <c r="JL43" s="313">
        <v>158</v>
      </c>
      <c r="JM43" s="313">
        <v>168</v>
      </c>
      <c r="JN43" s="313"/>
      <c r="JO43" s="313"/>
      <c r="JP43" s="313"/>
      <c r="JQ43" s="313">
        <v>166</v>
      </c>
      <c r="JR43" s="313">
        <v>151</v>
      </c>
      <c r="JS43" s="313">
        <v>158</v>
      </c>
      <c r="JT43" s="313">
        <v>144</v>
      </c>
      <c r="JU43" s="313">
        <v>143</v>
      </c>
      <c r="JV43" s="313">
        <v>141</v>
      </c>
      <c r="JW43" s="313"/>
      <c r="JX43" s="313"/>
      <c r="JY43" s="313"/>
      <c r="JZ43" s="313"/>
      <c r="KA43" s="313"/>
      <c r="KB43" s="313"/>
      <c r="KC43" s="313"/>
      <c r="KD43" s="313"/>
      <c r="KE43" s="313"/>
      <c r="KF43" s="313"/>
      <c r="KG43" s="313"/>
      <c r="KH43" s="313"/>
      <c r="KI43" s="313"/>
      <c r="KJ43" s="313"/>
      <c r="KK43" s="313"/>
      <c r="KL43" s="313">
        <v>121</v>
      </c>
      <c r="KM43" s="313">
        <v>146</v>
      </c>
      <c r="KN43" s="313">
        <v>189</v>
      </c>
      <c r="KO43" s="313"/>
      <c r="KP43" s="313"/>
      <c r="KQ43" s="313"/>
      <c r="KR43" s="313"/>
      <c r="KS43" s="313"/>
      <c r="KT43" s="313"/>
      <c r="KU43" s="313"/>
      <c r="KV43" s="313"/>
      <c r="KW43" s="313"/>
      <c r="KX43" s="313"/>
      <c r="KY43" s="313"/>
      <c r="KZ43" s="313"/>
      <c r="LA43" s="313"/>
      <c r="LB43" s="313"/>
      <c r="LC43" s="313"/>
      <c r="LD43" s="313"/>
      <c r="LE43" s="313"/>
      <c r="LF43" s="313"/>
      <c r="LG43" s="313"/>
      <c r="LH43" s="313"/>
      <c r="LI43" s="313"/>
      <c r="LJ43" s="313"/>
      <c r="LK43" s="313"/>
      <c r="LL43" s="313"/>
      <c r="LM43" s="313">
        <v>139</v>
      </c>
      <c r="LN43" s="313">
        <v>144</v>
      </c>
      <c r="LO43" s="313">
        <v>102</v>
      </c>
      <c r="LP43" s="313"/>
      <c r="LQ43" s="313"/>
      <c r="LR43" s="313"/>
      <c r="LS43" s="313"/>
      <c r="LT43" s="313"/>
      <c r="LU43" s="313"/>
      <c r="LV43" s="313"/>
      <c r="LW43" s="313"/>
      <c r="LX43" s="313"/>
      <c r="LY43" s="313"/>
      <c r="LZ43" s="313"/>
      <c r="MA43" s="313"/>
      <c r="MB43" s="313"/>
      <c r="MC43" s="313"/>
      <c r="MD43" s="313"/>
      <c r="ME43" s="313"/>
      <c r="MF43" s="313"/>
      <c r="MG43" s="313"/>
      <c r="MH43" s="242"/>
      <c r="MI43" s="242"/>
      <c r="MJ43" s="242"/>
      <c r="MK43" s="242"/>
      <c r="ML43" s="242"/>
      <c r="MM43" s="242"/>
      <c r="MN43" s="242"/>
      <c r="MO43" s="242"/>
      <c r="MP43" s="242"/>
      <c r="MQ43" s="13"/>
      <c r="MR43" s="13"/>
      <c r="MS43" s="13"/>
      <c r="MT43" s="13"/>
      <c r="MU43" s="13"/>
      <c r="MV43" s="13"/>
      <c r="MW43" s="13"/>
      <c r="MX43" s="13"/>
      <c r="MY43" s="13"/>
      <c r="MZ43" s="13"/>
      <c r="NA43" s="13"/>
      <c r="NB43" s="369"/>
      <c r="NC43" s="369"/>
      <c r="ND43" s="369"/>
      <c r="NE43" s="369"/>
      <c r="NF43" s="369"/>
      <c r="NG43" s="369"/>
      <c r="NH43" s="369"/>
      <c r="NI43" s="369"/>
      <c r="NJ43" s="369"/>
      <c r="NK43" s="369"/>
      <c r="NL43" s="369"/>
      <c r="NM43" s="369"/>
      <c r="NN43" s="369"/>
      <c r="NO43" s="369"/>
      <c r="NP43" s="369"/>
      <c r="NQ43" s="369"/>
      <c r="NR43" s="369"/>
      <c r="NS43" s="369"/>
      <c r="NT43" s="369"/>
      <c r="NU43" s="369"/>
      <c r="NV43" s="369"/>
      <c r="NW43" s="369"/>
      <c r="NX43" s="369"/>
      <c r="NY43" s="369"/>
      <c r="NZ43" s="369"/>
      <c r="OA43" s="369"/>
      <c r="OB43" s="369"/>
      <c r="OC43" s="369"/>
      <c r="OD43" s="369"/>
      <c r="OE43" s="369"/>
      <c r="OF43" s="369"/>
      <c r="OG43" s="369"/>
      <c r="OH43" s="369"/>
      <c r="OI43" s="369"/>
      <c r="OJ43" s="370"/>
      <c r="OK43" s="36">
        <f t="shared" si="10"/>
        <v>0</v>
      </c>
      <c r="OL43" s="10">
        <f t="shared" si="11"/>
        <v>0</v>
      </c>
      <c r="OM43" s="10">
        <f t="shared" si="12"/>
        <v>151.64705882352942</v>
      </c>
      <c r="ON43" s="10">
        <f t="shared" si="13"/>
        <v>0</v>
      </c>
      <c r="OO43" s="10">
        <f t="shared" si="8"/>
        <v>154.72800000000001</v>
      </c>
      <c r="OP43" s="375"/>
    </row>
    <row r="44" spans="1:406">
      <c r="A44" s="8" t="s">
        <v>32</v>
      </c>
      <c r="B44" s="8" t="str">
        <f>VLOOKUP(A44,'미니게임_DATA(순)'!$A$4:$B$60,2,0)</f>
        <v>Y</v>
      </c>
      <c r="C44" s="242"/>
      <c r="D44" s="242"/>
      <c r="E44" s="242"/>
      <c r="F44" s="242">
        <v>136</v>
      </c>
      <c r="G44" s="242">
        <v>154</v>
      </c>
      <c r="H44" s="242">
        <v>110</v>
      </c>
      <c r="I44" s="242"/>
      <c r="J44" s="242"/>
      <c r="K44" s="242"/>
      <c r="L44" s="24"/>
      <c r="M44" s="24"/>
      <c r="N44" s="24"/>
      <c r="O44" s="24">
        <v>175</v>
      </c>
      <c r="P44" s="24">
        <v>145</v>
      </c>
      <c r="Q44" s="24">
        <v>141</v>
      </c>
      <c r="R44" s="24"/>
      <c r="S44" s="24"/>
      <c r="T44" s="24"/>
      <c r="U44" s="24"/>
      <c r="V44" s="24"/>
      <c r="W44" s="24"/>
      <c r="X44" s="24"/>
      <c r="Y44" s="24"/>
      <c r="Z44" s="24"/>
      <c r="AA44" s="24">
        <v>160</v>
      </c>
      <c r="AB44" s="24">
        <v>193</v>
      </c>
      <c r="AC44" s="24">
        <v>157</v>
      </c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>
        <v>152</v>
      </c>
      <c r="CL44" s="24">
        <v>149</v>
      </c>
      <c r="CM44" s="24"/>
      <c r="CN44" s="24"/>
      <c r="CO44" s="24"/>
      <c r="CP44" s="24"/>
      <c r="CQ44" s="24"/>
      <c r="CR44" s="18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>
        <v>141</v>
      </c>
      <c r="DY44" s="24">
        <v>155</v>
      </c>
      <c r="DZ44" s="24">
        <v>145</v>
      </c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>
        <v>158</v>
      </c>
      <c r="GM44" s="24">
        <v>159</v>
      </c>
      <c r="GN44" s="24">
        <v>157</v>
      </c>
      <c r="GO44" s="24"/>
      <c r="GP44" s="24"/>
      <c r="GQ44" s="24"/>
      <c r="GR44" s="24">
        <v>135</v>
      </c>
      <c r="GS44" s="24">
        <v>121</v>
      </c>
      <c r="GT44" s="24">
        <v>173</v>
      </c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>
        <v>124</v>
      </c>
      <c r="HN44" s="24">
        <v>125</v>
      </c>
      <c r="HO44" s="24">
        <v>146</v>
      </c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18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313"/>
      <c r="JI44" s="313"/>
      <c r="JJ44" s="313"/>
      <c r="JK44" s="313"/>
      <c r="JL44" s="313"/>
      <c r="JM44" s="313"/>
      <c r="JN44" s="313"/>
      <c r="JO44" s="313"/>
      <c r="JP44" s="313"/>
      <c r="JQ44" s="313"/>
      <c r="JR44" s="313"/>
      <c r="JS44" s="313"/>
      <c r="JT44" s="313"/>
      <c r="JU44" s="313"/>
      <c r="JV44" s="313"/>
      <c r="JW44" s="313"/>
      <c r="JX44" s="313"/>
      <c r="JY44" s="313"/>
      <c r="JZ44" s="313"/>
      <c r="KA44" s="313"/>
      <c r="KB44" s="313"/>
      <c r="KC44" s="313"/>
      <c r="KD44" s="313"/>
      <c r="KE44" s="313"/>
      <c r="KF44" s="313"/>
      <c r="KG44" s="313"/>
      <c r="KH44" s="313"/>
      <c r="KI44" s="313"/>
      <c r="KJ44" s="313"/>
      <c r="KK44" s="313"/>
      <c r="KL44" s="313"/>
      <c r="KM44" s="313"/>
      <c r="KN44" s="313"/>
      <c r="KO44" s="313"/>
      <c r="KP44" s="313"/>
      <c r="KQ44" s="313"/>
      <c r="KR44" s="313"/>
      <c r="KS44" s="313"/>
      <c r="KT44" s="313"/>
      <c r="KU44" s="313"/>
      <c r="KV44" s="313"/>
      <c r="KW44" s="313"/>
      <c r="KX44" s="313"/>
      <c r="KY44" s="313"/>
      <c r="KZ44" s="313"/>
      <c r="LA44" s="313"/>
      <c r="LB44" s="313"/>
      <c r="LC44" s="313"/>
      <c r="LD44" s="313"/>
      <c r="LE44" s="313"/>
      <c r="LF44" s="313"/>
      <c r="LG44" s="313"/>
      <c r="LH44" s="313"/>
      <c r="LI44" s="313"/>
      <c r="LJ44" s="313"/>
      <c r="LK44" s="313"/>
      <c r="LL44" s="313"/>
      <c r="LM44" s="313"/>
      <c r="LN44" s="313"/>
      <c r="LO44" s="313"/>
      <c r="LP44" s="313"/>
      <c r="LQ44" s="313"/>
      <c r="LR44" s="313"/>
      <c r="LS44" s="313"/>
      <c r="LT44" s="313"/>
      <c r="LU44" s="313"/>
      <c r="LV44" s="313"/>
      <c r="LW44" s="313"/>
      <c r="LX44" s="313"/>
      <c r="LY44" s="313"/>
      <c r="LZ44" s="313"/>
      <c r="MA44" s="313"/>
      <c r="MB44" s="313"/>
      <c r="MC44" s="313"/>
      <c r="MD44" s="313"/>
      <c r="ME44" s="313"/>
      <c r="MF44" s="313"/>
      <c r="MG44" s="313"/>
      <c r="MH44" s="242"/>
      <c r="MI44" s="242"/>
      <c r="MJ44" s="242"/>
      <c r="MK44" s="242"/>
      <c r="ML44" s="242"/>
      <c r="MM44" s="242"/>
      <c r="MN44" s="242"/>
      <c r="MO44" s="242"/>
      <c r="MP44" s="242"/>
      <c r="MQ44" s="13"/>
      <c r="MR44" s="242"/>
      <c r="MS44" s="242"/>
      <c r="MT44" s="242"/>
      <c r="MU44" s="242"/>
      <c r="MV44" s="13"/>
      <c r="MW44" s="13"/>
      <c r="MX44" s="13"/>
      <c r="MY44" s="13"/>
      <c r="MZ44" s="13"/>
      <c r="NA44" s="13"/>
      <c r="NB44" s="13"/>
      <c r="NC44" s="13"/>
      <c r="ND44" s="13"/>
      <c r="NE44" s="13"/>
      <c r="NF44" s="13"/>
      <c r="NG44" s="13"/>
      <c r="NH44" s="13"/>
      <c r="NI44" s="13"/>
      <c r="NJ44" s="13"/>
      <c r="NK44" s="13"/>
      <c r="NL44" s="13"/>
      <c r="NM44" s="13"/>
      <c r="NN44" s="13"/>
      <c r="NO44" s="13"/>
      <c r="NP44" s="13"/>
      <c r="NQ44" s="13"/>
      <c r="NR44" s="13"/>
      <c r="NS44" s="13"/>
      <c r="NT44" s="13"/>
      <c r="NU44" s="13"/>
      <c r="NV44" s="13"/>
      <c r="NW44" s="13"/>
      <c r="NX44" s="13"/>
      <c r="NY44" s="13"/>
      <c r="NZ44" s="13"/>
      <c r="OA44" s="13"/>
      <c r="OB44" s="13"/>
      <c r="OC44" s="13"/>
      <c r="OD44" s="13"/>
      <c r="OE44" s="13"/>
      <c r="OF44" s="13"/>
      <c r="OG44" s="13"/>
      <c r="OH44" s="13"/>
      <c r="OI44" s="13"/>
      <c r="OJ44" s="8"/>
      <c r="OK44" s="36">
        <f t="shared" si="10"/>
        <v>0</v>
      </c>
      <c r="OL44" s="10">
        <f t="shared" si="11"/>
        <v>0</v>
      </c>
      <c r="OM44" s="10">
        <f t="shared" si="12"/>
        <v>0</v>
      </c>
      <c r="ON44" s="10">
        <f t="shared" si="13"/>
        <v>0</v>
      </c>
      <c r="OO44" s="10">
        <f t="shared" si="8"/>
        <v>148.30434782608697</v>
      </c>
    </row>
    <row r="45" spans="1:406">
      <c r="A45" s="8" t="s">
        <v>39</v>
      </c>
      <c r="B45" s="8" t="str">
        <f>VLOOKUP(A45,'미니게임_DATA(순)'!$A$4:$B$60,2,0)</f>
        <v>Y</v>
      </c>
      <c r="C45" s="242"/>
      <c r="D45" s="242"/>
      <c r="E45" s="242"/>
      <c r="F45" s="242"/>
      <c r="G45" s="242"/>
      <c r="H45" s="242"/>
      <c r="I45" s="242"/>
      <c r="J45" s="242"/>
      <c r="K45" s="242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18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>
        <v>179</v>
      </c>
      <c r="FF45" s="24">
        <v>126</v>
      </c>
      <c r="FG45" s="24">
        <v>161</v>
      </c>
      <c r="FH45" s="24">
        <v>98</v>
      </c>
      <c r="FI45" s="24">
        <v>194</v>
      </c>
      <c r="FJ45" s="24">
        <v>122</v>
      </c>
      <c r="FK45" s="24">
        <v>142</v>
      </c>
      <c r="FL45" s="24">
        <v>144</v>
      </c>
      <c r="FM45" s="24">
        <v>126</v>
      </c>
      <c r="FN45" s="24">
        <v>113</v>
      </c>
      <c r="FO45" s="24">
        <v>106</v>
      </c>
      <c r="FP45" s="24">
        <v>139</v>
      </c>
      <c r="FQ45" s="24">
        <v>116</v>
      </c>
      <c r="FR45" s="24">
        <v>169</v>
      </c>
      <c r="FS45" s="24"/>
      <c r="FT45" s="24"/>
      <c r="FU45" s="24"/>
      <c r="FV45" s="24"/>
      <c r="FW45" s="24"/>
      <c r="FX45" s="24"/>
      <c r="FY45" s="24">
        <v>143</v>
      </c>
      <c r="FZ45" s="24">
        <v>125</v>
      </c>
      <c r="GA45" s="24">
        <v>146</v>
      </c>
      <c r="GB45" s="24"/>
      <c r="GC45" s="24"/>
      <c r="GD45" s="24"/>
      <c r="GE45" s="24"/>
      <c r="GF45" s="24">
        <v>135</v>
      </c>
      <c r="GG45" s="24">
        <v>134</v>
      </c>
      <c r="GH45" s="24">
        <v>116</v>
      </c>
      <c r="GI45" s="24">
        <v>144</v>
      </c>
      <c r="GJ45" s="24">
        <v>123</v>
      </c>
      <c r="GK45" s="24">
        <v>124</v>
      </c>
      <c r="GL45" s="24"/>
      <c r="GM45" s="24"/>
      <c r="GN45" s="24"/>
      <c r="GO45" s="24">
        <v>161</v>
      </c>
      <c r="GP45" s="24">
        <v>138</v>
      </c>
      <c r="GQ45" s="24">
        <v>130</v>
      </c>
      <c r="GR45" s="24">
        <v>140</v>
      </c>
      <c r="GS45" s="24">
        <v>165</v>
      </c>
      <c r="GT45" s="24">
        <v>165</v>
      </c>
      <c r="GU45" s="24"/>
      <c r="GV45" s="24"/>
      <c r="GW45" s="24"/>
      <c r="GX45" s="24"/>
      <c r="GY45" s="24"/>
      <c r="GZ45" s="24"/>
      <c r="HA45" s="24"/>
      <c r="HB45" s="24"/>
      <c r="HC45" s="24"/>
      <c r="HD45" s="24">
        <v>79</v>
      </c>
      <c r="HE45" s="24">
        <v>151</v>
      </c>
      <c r="HF45" s="24">
        <v>113</v>
      </c>
      <c r="HG45" s="24"/>
      <c r="HH45" s="24">
        <v>125</v>
      </c>
      <c r="HI45" s="24">
        <v>159</v>
      </c>
      <c r="HJ45" s="24">
        <v>104</v>
      </c>
      <c r="HK45" s="24">
        <v>121</v>
      </c>
      <c r="HL45" s="24">
        <v>130</v>
      </c>
      <c r="HM45" s="24">
        <v>167</v>
      </c>
      <c r="HN45" s="24">
        <v>172</v>
      </c>
      <c r="HO45" s="24">
        <v>150</v>
      </c>
      <c r="HP45" s="24"/>
      <c r="HQ45" s="24"/>
      <c r="HR45" s="24"/>
      <c r="HS45" s="24">
        <v>154</v>
      </c>
      <c r="HT45" s="24">
        <v>166</v>
      </c>
      <c r="HU45" s="24">
        <v>141</v>
      </c>
      <c r="HV45" s="24"/>
      <c r="HW45" s="24"/>
      <c r="HX45" s="24"/>
      <c r="HY45" s="422">
        <v>182</v>
      </c>
      <c r="HZ45" s="422">
        <v>174</v>
      </c>
      <c r="IA45" s="422">
        <v>144</v>
      </c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>
        <v>170</v>
      </c>
      <c r="IO45" s="24">
        <v>131</v>
      </c>
      <c r="IP45" s="24">
        <v>114</v>
      </c>
      <c r="IQ45" s="24"/>
      <c r="IR45" s="24"/>
      <c r="IS45" s="24"/>
      <c r="IT45" s="24"/>
      <c r="IU45" s="24"/>
      <c r="IV45" s="24"/>
      <c r="IW45" s="18"/>
      <c r="IX45" s="24"/>
      <c r="IY45" s="24"/>
      <c r="IZ45" s="24"/>
      <c r="JA45" s="24"/>
      <c r="JB45" s="24">
        <v>169</v>
      </c>
      <c r="JC45" s="24">
        <v>155</v>
      </c>
      <c r="JD45" s="24">
        <v>159</v>
      </c>
      <c r="JE45" s="24"/>
      <c r="JF45" s="24"/>
      <c r="JG45" s="24"/>
      <c r="JH45" s="313"/>
      <c r="JI45" s="313"/>
      <c r="JJ45" s="313"/>
      <c r="JK45" s="313">
        <v>108</v>
      </c>
      <c r="JL45" s="313">
        <v>157</v>
      </c>
      <c r="JM45" s="313">
        <v>178</v>
      </c>
      <c r="JN45" s="313"/>
      <c r="JO45" s="313"/>
      <c r="JP45" s="313"/>
      <c r="JQ45" s="313"/>
      <c r="JR45" s="313"/>
      <c r="JS45" s="313"/>
      <c r="JT45" s="313">
        <v>157</v>
      </c>
      <c r="JU45" s="313">
        <v>117</v>
      </c>
      <c r="JV45" s="313">
        <v>145</v>
      </c>
      <c r="JW45" s="313">
        <v>138</v>
      </c>
      <c r="JX45" s="313">
        <v>157</v>
      </c>
      <c r="JY45" s="313">
        <v>102</v>
      </c>
      <c r="JZ45" s="313"/>
      <c r="KA45" s="313"/>
      <c r="KB45" s="313"/>
      <c r="KC45" s="313">
        <v>152</v>
      </c>
      <c r="KD45" s="313">
        <v>158</v>
      </c>
      <c r="KE45" s="313">
        <v>131</v>
      </c>
      <c r="KF45" s="313"/>
      <c r="KG45" s="313"/>
      <c r="KH45" s="313"/>
      <c r="KI45" s="313">
        <v>115</v>
      </c>
      <c r="KJ45" s="313">
        <v>157</v>
      </c>
      <c r="KK45" s="313">
        <v>145</v>
      </c>
      <c r="KL45" s="313">
        <v>180</v>
      </c>
      <c r="KM45" s="313">
        <v>124</v>
      </c>
      <c r="KN45" s="313">
        <v>121</v>
      </c>
      <c r="KO45" s="313"/>
      <c r="KP45" s="313"/>
      <c r="KQ45" s="313"/>
      <c r="KR45" s="313"/>
      <c r="KS45" s="313"/>
      <c r="KT45" s="313"/>
      <c r="KU45" s="313"/>
      <c r="KV45" s="313"/>
      <c r="KW45" s="313"/>
      <c r="KX45" s="313"/>
      <c r="KY45" s="313"/>
      <c r="KZ45" s="313"/>
      <c r="LA45" s="313"/>
      <c r="LB45" s="313"/>
      <c r="LC45" s="313"/>
      <c r="LD45" s="313"/>
      <c r="LE45" s="313"/>
      <c r="LF45" s="313"/>
      <c r="LG45" s="313"/>
      <c r="LH45" s="313"/>
      <c r="LI45" s="313"/>
      <c r="LJ45" s="313"/>
      <c r="LK45" s="313"/>
      <c r="LL45" s="313"/>
      <c r="LM45" s="313"/>
      <c r="LN45" s="313"/>
      <c r="LO45" s="313"/>
      <c r="LP45" s="313"/>
      <c r="LQ45" s="313"/>
      <c r="LR45" s="313"/>
      <c r="LS45" s="313"/>
      <c r="LT45" s="313"/>
      <c r="LU45" s="313"/>
      <c r="LV45" s="313"/>
      <c r="LW45" s="313"/>
      <c r="LX45" s="313"/>
      <c r="LY45" s="313"/>
      <c r="LZ45" s="313"/>
      <c r="MA45" s="313"/>
      <c r="MB45" s="313"/>
      <c r="MC45" s="313"/>
      <c r="MD45" s="313"/>
      <c r="ME45" s="313"/>
      <c r="MF45" s="313"/>
      <c r="MG45" s="313"/>
      <c r="MH45" s="242"/>
      <c r="MI45" s="242"/>
      <c r="MJ45" s="242"/>
      <c r="MK45" s="242"/>
      <c r="ML45" s="242"/>
      <c r="MM45" s="242"/>
      <c r="MN45" s="242"/>
      <c r="MO45" s="242"/>
      <c r="MP45" s="242"/>
      <c r="MQ45" s="13"/>
      <c r="MR45" s="242"/>
      <c r="MS45" s="242"/>
      <c r="MT45" s="242"/>
      <c r="MU45" s="242"/>
      <c r="MV45" s="13"/>
      <c r="MW45" s="13"/>
      <c r="MX45" s="13"/>
      <c r="MY45" s="13"/>
      <c r="MZ45" s="13"/>
      <c r="NA45" s="13"/>
      <c r="NB45" s="13"/>
      <c r="NC45" s="13"/>
      <c r="ND45" s="13"/>
      <c r="NE45" s="13"/>
      <c r="NF45" s="13"/>
      <c r="NG45" s="13"/>
      <c r="NH45" s="13"/>
      <c r="NI45" s="13"/>
      <c r="NJ45" s="13"/>
      <c r="NK45" s="13"/>
      <c r="NL45" s="13"/>
      <c r="NM45" s="13"/>
      <c r="NN45" s="13"/>
      <c r="NO45" s="13"/>
      <c r="NP45" s="13"/>
      <c r="NQ45" s="13"/>
      <c r="NR45" s="13"/>
      <c r="NS45" s="13"/>
      <c r="NT45" s="13"/>
      <c r="NU45" s="13"/>
      <c r="NV45" s="13"/>
      <c r="NW45" s="13"/>
      <c r="NX45" s="13"/>
      <c r="NY45" s="13"/>
      <c r="NZ45" s="13"/>
      <c r="OA45" s="13"/>
      <c r="OB45" s="13"/>
      <c r="OC45" s="13"/>
      <c r="OD45" s="13"/>
      <c r="OE45" s="13"/>
      <c r="OF45" s="13"/>
      <c r="OG45" s="13"/>
      <c r="OH45" s="13"/>
      <c r="OI45" s="13"/>
      <c r="OJ45" s="8"/>
      <c r="OK45" s="36">
        <f t="shared" si="10"/>
        <v>0</v>
      </c>
      <c r="OL45" s="10">
        <f t="shared" si="11"/>
        <v>0</v>
      </c>
      <c r="OM45" s="10">
        <f t="shared" si="12"/>
        <v>144.04761904761904</v>
      </c>
      <c r="ON45" s="10">
        <f t="shared" si="13"/>
        <v>0</v>
      </c>
      <c r="OO45" s="10">
        <f t="shared" si="8"/>
        <v>141.37142857142857</v>
      </c>
    </row>
    <row r="46" spans="1:406">
      <c r="A46" s="8" t="s">
        <v>18</v>
      </c>
      <c r="B46" s="8" t="str">
        <f>VLOOKUP(A46,'미니게임_DATA(순)'!$A$4:$B$60,2,0)</f>
        <v>Y</v>
      </c>
      <c r="C46" s="406"/>
      <c r="D46" s="406"/>
      <c r="E46" s="406"/>
      <c r="F46" s="406"/>
      <c r="G46" s="406"/>
      <c r="H46" s="406"/>
      <c r="I46" s="406"/>
      <c r="J46" s="406"/>
      <c r="K46" s="406"/>
      <c r="L46" s="362"/>
      <c r="M46" s="362"/>
      <c r="N46" s="362"/>
      <c r="O46" s="362"/>
      <c r="P46" s="362"/>
      <c r="Q46" s="362"/>
      <c r="R46" s="362"/>
      <c r="S46" s="362"/>
      <c r="T46" s="362"/>
      <c r="U46" s="362"/>
      <c r="V46" s="362"/>
      <c r="W46" s="362"/>
      <c r="X46" s="362"/>
      <c r="Y46" s="362"/>
      <c r="Z46" s="362"/>
      <c r="AA46" s="362"/>
      <c r="AB46" s="362"/>
      <c r="AC46" s="362"/>
      <c r="AD46" s="362"/>
      <c r="AE46" s="362"/>
      <c r="AF46" s="362"/>
      <c r="AG46" s="362"/>
      <c r="AH46" s="362"/>
      <c r="AI46" s="362"/>
      <c r="AJ46" s="362"/>
      <c r="AK46" s="362"/>
      <c r="AL46" s="362"/>
      <c r="AM46" s="362"/>
      <c r="AN46" s="362"/>
      <c r="AO46" s="362"/>
      <c r="AP46" s="362"/>
      <c r="AQ46" s="362"/>
      <c r="AR46" s="362"/>
      <c r="AS46" s="362"/>
      <c r="AT46" s="362"/>
      <c r="AU46" s="362"/>
      <c r="AV46" s="362"/>
      <c r="AW46" s="362"/>
      <c r="AX46" s="362"/>
      <c r="AY46" s="362"/>
      <c r="AZ46" s="362"/>
      <c r="BA46" s="362"/>
      <c r="BB46" s="362"/>
      <c r="BC46" s="362"/>
      <c r="BD46" s="362"/>
      <c r="BE46" s="362"/>
      <c r="BF46" s="362"/>
      <c r="BG46" s="362"/>
      <c r="BH46" s="362"/>
      <c r="BI46" s="362"/>
      <c r="BJ46" s="362"/>
      <c r="BK46" s="362"/>
      <c r="BL46" s="362"/>
      <c r="BM46" s="362"/>
      <c r="BN46" s="362"/>
      <c r="BO46" s="362"/>
      <c r="BP46" s="362"/>
      <c r="BQ46" s="362"/>
      <c r="BR46" s="362"/>
      <c r="BS46" s="362"/>
      <c r="BT46" s="242"/>
      <c r="BU46" s="362"/>
      <c r="BV46" s="362"/>
      <c r="BW46" s="242"/>
      <c r="BX46" s="242"/>
      <c r="BY46" s="242"/>
      <c r="BZ46" s="242"/>
      <c r="CA46" s="242"/>
      <c r="CB46" s="242"/>
      <c r="CC46" s="242"/>
      <c r="CD46" s="242"/>
      <c r="CE46" s="242"/>
      <c r="CF46" s="242"/>
      <c r="CG46" s="242"/>
      <c r="CH46" s="242"/>
      <c r="CI46" s="242"/>
      <c r="CJ46" s="242"/>
      <c r="CK46" s="242"/>
      <c r="CL46" s="242"/>
      <c r="CM46" s="242"/>
      <c r="CN46" s="242"/>
      <c r="CO46" s="242"/>
      <c r="CP46" s="242"/>
      <c r="CQ46" s="242"/>
      <c r="CR46" s="13"/>
      <c r="CS46" s="242"/>
      <c r="CT46" s="242"/>
      <c r="CU46" s="242"/>
      <c r="CV46" s="242"/>
      <c r="CW46" s="242"/>
      <c r="CX46" s="242"/>
      <c r="CY46" s="242"/>
      <c r="CZ46" s="242"/>
      <c r="DA46" s="242"/>
      <c r="DB46" s="242"/>
      <c r="DC46" s="242"/>
      <c r="DD46" s="242"/>
      <c r="DE46" s="242"/>
      <c r="DF46" s="242"/>
      <c r="DG46" s="242"/>
      <c r="DH46" s="422"/>
      <c r="DI46" s="422"/>
      <c r="DJ46" s="422"/>
      <c r="DK46" s="422">
        <v>142</v>
      </c>
      <c r="DL46" s="422">
        <v>149</v>
      </c>
      <c r="DM46" s="422"/>
      <c r="DN46" s="422"/>
      <c r="DO46" s="24">
        <v>125</v>
      </c>
      <c r="DP46" s="24">
        <v>162</v>
      </c>
      <c r="DQ46" s="24">
        <v>147</v>
      </c>
      <c r="DR46" s="24">
        <v>117</v>
      </c>
      <c r="DS46" s="24">
        <v>117</v>
      </c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>
        <v>145</v>
      </c>
      <c r="IL46" s="24">
        <v>133</v>
      </c>
      <c r="IM46" s="24">
        <v>180</v>
      </c>
      <c r="IN46" s="24"/>
      <c r="IO46" s="24"/>
      <c r="IP46" s="24"/>
      <c r="IQ46" s="24"/>
      <c r="IR46" s="24"/>
      <c r="IS46" s="24"/>
      <c r="IT46" s="24">
        <v>130</v>
      </c>
      <c r="IU46" s="24">
        <v>148</v>
      </c>
      <c r="IV46" s="24">
        <v>144</v>
      </c>
      <c r="IW46" s="18"/>
      <c r="IX46" s="24"/>
      <c r="IY46" s="24">
        <v>143</v>
      </c>
      <c r="IZ46" s="24">
        <v>144</v>
      </c>
      <c r="JA46" s="24">
        <v>120</v>
      </c>
      <c r="JB46" s="24"/>
      <c r="JC46" s="24"/>
      <c r="JD46" s="24"/>
      <c r="JE46" s="24"/>
      <c r="JF46" s="24"/>
      <c r="JG46" s="24"/>
      <c r="JH46" s="313"/>
      <c r="JI46" s="313"/>
      <c r="JJ46" s="313"/>
      <c r="JK46" s="313"/>
      <c r="JL46" s="313"/>
      <c r="JM46" s="313"/>
      <c r="JN46" s="313"/>
      <c r="JO46" s="313"/>
      <c r="JP46" s="313"/>
      <c r="JQ46" s="313"/>
      <c r="JR46" s="313"/>
      <c r="JS46" s="313"/>
      <c r="JT46" s="313"/>
      <c r="JU46" s="313"/>
      <c r="JV46" s="313"/>
      <c r="JW46" s="313"/>
      <c r="JX46" s="313"/>
      <c r="JY46" s="313"/>
      <c r="JZ46" s="313"/>
      <c r="KA46" s="313"/>
      <c r="KB46" s="313"/>
      <c r="KC46" s="313"/>
      <c r="KD46" s="313"/>
      <c r="KE46" s="313"/>
      <c r="KF46" s="313"/>
      <c r="KG46" s="313"/>
      <c r="KH46" s="313"/>
      <c r="KI46" s="313"/>
      <c r="KJ46" s="313"/>
      <c r="KK46" s="313"/>
      <c r="KL46" s="313"/>
      <c r="KM46" s="313"/>
      <c r="KN46" s="313"/>
      <c r="KO46" s="313"/>
      <c r="KP46" s="313"/>
      <c r="KQ46" s="313"/>
      <c r="KR46" s="313"/>
      <c r="KS46" s="313"/>
      <c r="KT46" s="313"/>
      <c r="KU46" s="313"/>
      <c r="KV46" s="313"/>
      <c r="KW46" s="313"/>
      <c r="KX46" s="313"/>
      <c r="KY46" s="313"/>
      <c r="KZ46" s="313"/>
      <c r="LA46" s="313"/>
      <c r="LB46" s="313"/>
      <c r="LC46" s="313"/>
      <c r="LD46" s="313"/>
      <c r="LE46" s="313"/>
      <c r="LF46" s="313"/>
      <c r="LG46" s="313"/>
      <c r="LH46" s="313"/>
      <c r="LI46" s="313"/>
      <c r="LJ46" s="313"/>
      <c r="LK46" s="313"/>
      <c r="LL46" s="313"/>
      <c r="LM46" s="313"/>
      <c r="LN46" s="313"/>
      <c r="LO46" s="313"/>
      <c r="LP46" s="313"/>
      <c r="LQ46" s="313"/>
      <c r="LR46" s="313"/>
      <c r="LS46" s="313"/>
      <c r="LT46" s="313"/>
      <c r="LU46" s="313"/>
      <c r="LV46" s="313"/>
      <c r="LW46" s="313"/>
      <c r="LX46" s="313"/>
      <c r="LY46" s="313"/>
      <c r="LZ46" s="313"/>
      <c r="MA46" s="313"/>
      <c r="MB46" s="313"/>
      <c r="MC46" s="313"/>
      <c r="MD46" s="313"/>
      <c r="ME46" s="313"/>
      <c r="MF46" s="313"/>
      <c r="MG46" s="313"/>
      <c r="MH46" s="242"/>
      <c r="MI46" s="242"/>
      <c r="MJ46" s="242"/>
      <c r="MK46" s="242"/>
      <c r="ML46" s="242"/>
      <c r="MM46" s="242"/>
      <c r="MN46" s="242"/>
      <c r="MO46" s="242"/>
      <c r="MP46" s="242"/>
      <c r="MQ46" s="13"/>
      <c r="MR46" s="242"/>
      <c r="MS46" s="242"/>
      <c r="MT46" s="242"/>
      <c r="MU46" s="242"/>
      <c r="MV46" s="13"/>
      <c r="MW46" s="13"/>
      <c r="MX46" s="13"/>
      <c r="MY46" s="13"/>
      <c r="MZ46" s="13"/>
      <c r="NA46" s="13"/>
      <c r="NB46" s="13"/>
      <c r="NC46" s="13"/>
      <c r="ND46" s="13"/>
      <c r="NE46" s="13"/>
      <c r="NF46" s="13"/>
      <c r="NG46" s="13"/>
      <c r="NH46" s="13"/>
      <c r="NI46" s="13"/>
      <c r="NJ46" s="13"/>
      <c r="NK46" s="13"/>
      <c r="NL46" s="13"/>
      <c r="NM46" s="13"/>
      <c r="NN46" s="13"/>
      <c r="NO46" s="13"/>
      <c r="NP46" s="13"/>
      <c r="NQ46" s="13"/>
      <c r="NR46" s="13"/>
      <c r="NS46" s="13"/>
      <c r="NT46" s="13"/>
      <c r="NU46" s="13"/>
      <c r="NV46" s="13"/>
      <c r="NW46" s="13"/>
      <c r="NX46" s="13"/>
      <c r="NY46" s="13"/>
      <c r="NZ46" s="13"/>
      <c r="OA46" s="13"/>
      <c r="OB46" s="13"/>
      <c r="OC46" s="13"/>
      <c r="OD46" s="13"/>
      <c r="OE46" s="13"/>
      <c r="OF46" s="13"/>
      <c r="OG46" s="13"/>
      <c r="OH46" s="13"/>
      <c r="OI46" s="13"/>
      <c r="OJ46" s="8"/>
      <c r="OK46" s="36">
        <f t="shared" si="10"/>
        <v>0</v>
      </c>
      <c r="OL46" s="10">
        <f t="shared" si="11"/>
        <v>0</v>
      </c>
      <c r="OM46" s="10">
        <f t="shared" si="12"/>
        <v>135.66666666666666</v>
      </c>
      <c r="ON46" s="10">
        <f t="shared" si="13"/>
        <v>0</v>
      </c>
      <c r="OO46" s="10">
        <f t="shared" si="8"/>
        <v>140.375</v>
      </c>
    </row>
    <row r="47" spans="1:406">
      <c r="A47" s="8" t="s">
        <v>40</v>
      </c>
      <c r="B47" s="8" t="str">
        <f>VLOOKUP(A47,'미니게임_DATA(순)'!$A$4:$B$60,2,0)</f>
        <v>Y</v>
      </c>
      <c r="C47" s="242"/>
      <c r="D47" s="242"/>
      <c r="E47" s="242"/>
      <c r="F47" s="242">
        <v>101</v>
      </c>
      <c r="G47" s="242">
        <v>105</v>
      </c>
      <c r="H47" s="242">
        <v>104</v>
      </c>
      <c r="I47" s="242">
        <v>70</v>
      </c>
      <c r="J47" s="242">
        <v>104</v>
      </c>
      <c r="K47" s="242">
        <v>72</v>
      </c>
      <c r="L47" s="24"/>
      <c r="M47" s="24"/>
      <c r="N47" s="24"/>
      <c r="O47" s="24"/>
      <c r="P47" s="24"/>
      <c r="Q47" s="24"/>
      <c r="R47" s="24"/>
      <c r="S47" s="24"/>
      <c r="T47" s="24"/>
      <c r="U47" s="24">
        <v>85</v>
      </c>
      <c r="V47" s="24">
        <v>121</v>
      </c>
      <c r="W47" s="24">
        <v>113</v>
      </c>
      <c r="X47" s="24"/>
      <c r="Y47" s="24"/>
      <c r="Z47" s="24"/>
      <c r="AA47" s="24">
        <v>116</v>
      </c>
      <c r="AB47" s="24">
        <v>142</v>
      </c>
      <c r="AC47" s="24">
        <v>132</v>
      </c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>
        <v>95</v>
      </c>
      <c r="AT47" s="24">
        <v>111</v>
      </c>
      <c r="AU47" s="24">
        <v>121</v>
      </c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>
        <v>120</v>
      </c>
      <c r="CL47" s="24">
        <v>138</v>
      </c>
      <c r="CM47" s="24"/>
      <c r="CN47" s="24"/>
      <c r="CO47" s="24"/>
      <c r="CP47" s="24"/>
      <c r="CQ47" s="24"/>
      <c r="CR47" s="18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>
        <v>104</v>
      </c>
      <c r="DI47" s="24">
        <v>161</v>
      </c>
      <c r="DJ47" s="24">
        <v>159</v>
      </c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>
        <v>136</v>
      </c>
      <c r="DY47" s="24">
        <v>104</v>
      </c>
      <c r="DZ47" s="24">
        <v>127</v>
      </c>
      <c r="EA47" s="24">
        <v>86</v>
      </c>
      <c r="EB47" s="24">
        <v>134</v>
      </c>
      <c r="EC47" s="24">
        <v>99</v>
      </c>
      <c r="ED47" s="24">
        <v>120</v>
      </c>
      <c r="EE47" s="24">
        <v>125</v>
      </c>
      <c r="EF47" s="24">
        <v>96</v>
      </c>
      <c r="EG47" s="24"/>
      <c r="EH47" s="24"/>
      <c r="EI47" s="24"/>
      <c r="EJ47" s="24"/>
      <c r="EK47" s="24"/>
      <c r="EL47" s="24"/>
      <c r="EM47" s="24">
        <v>100</v>
      </c>
      <c r="EN47" s="24">
        <v>114</v>
      </c>
      <c r="EO47" s="24">
        <v>97</v>
      </c>
      <c r="EP47" s="24">
        <v>110</v>
      </c>
      <c r="EQ47" s="24">
        <v>171</v>
      </c>
      <c r="ER47" s="24">
        <v>147</v>
      </c>
      <c r="ES47" s="24">
        <v>152</v>
      </c>
      <c r="ET47" s="24">
        <v>105</v>
      </c>
      <c r="EU47" s="24">
        <v>157</v>
      </c>
      <c r="EV47" s="24"/>
      <c r="EW47" s="24"/>
      <c r="EX47" s="24"/>
      <c r="EY47" s="24"/>
      <c r="EZ47" s="24"/>
      <c r="FA47" s="24"/>
      <c r="FB47" s="24">
        <v>130</v>
      </c>
      <c r="FC47" s="24">
        <v>116</v>
      </c>
      <c r="FD47" s="24">
        <v>168</v>
      </c>
      <c r="FE47" s="24">
        <v>95</v>
      </c>
      <c r="FF47" s="24">
        <v>120</v>
      </c>
      <c r="FG47" s="24">
        <v>100</v>
      </c>
      <c r="FH47" s="24">
        <v>107</v>
      </c>
      <c r="FI47" s="24">
        <v>143</v>
      </c>
      <c r="FJ47" s="24">
        <v>107</v>
      </c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>
        <v>122</v>
      </c>
      <c r="FW47" s="24">
        <v>102</v>
      </c>
      <c r="FX47" s="24">
        <v>105</v>
      </c>
      <c r="FY47" s="24">
        <v>112</v>
      </c>
      <c r="FZ47" s="24">
        <v>135</v>
      </c>
      <c r="GA47" s="24">
        <v>158</v>
      </c>
      <c r="GB47" s="24">
        <v>172</v>
      </c>
      <c r="GC47" s="24">
        <v>115</v>
      </c>
      <c r="GD47" s="24">
        <v>114</v>
      </c>
      <c r="GE47" s="24">
        <v>133</v>
      </c>
      <c r="GF47" s="24"/>
      <c r="GG47" s="24"/>
      <c r="GH47" s="24"/>
      <c r="GI47" s="24"/>
      <c r="GJ47" s="24"/>
      <c r="GK47" s="24"/>
      <c r="GL47" s="24">
        <v>115</v>
      </c>
      <c r="GM47" s="24">
        <v>128</v>
      </c>
      <c r="GN47" s="24">
        <v>147</v>
      </c>
      <c r="GO47" s="24"/>
      <c r="GP47" s="24"/>
      <c r="GQ47" s="24"/>
      <c r="GR47" s="24">
        <v>151</v>
      </c>
      <c r="GS47" s="24">
        <v>101</v>
      </c>
      <c r="GT47" s="24">
        <v>138</v>
      </c>
      <c r="GU47" s="24">
        <v>102</v>
      </c>
      <c r="GV47" s="24">
        <v>103</v>
      </c>
      <c r="GW47" s="24">
        <v>134</v>
      </c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>
        <v>98</v>
      </c>
      <c r="HW47" s="24">
        <v>144</v>
      </c>
      <c r="HX47" s="24">
        <v>115</v>
      </c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18"/>
      <c r="IX47" s="24"/>
      <c r="IY47" s="24"/>
      <c r="IZ47" s="24"/>
      <c r="JA47" s="24"/>
      <c r="JB47" s="24">
        <v>134</v>
      </c>
      <c r="JC47" s="24">
        <v>147</v>
      </c>
      <c r="JD47" s="24">
        <v>127</v>
      </c>
      <c r="JE47" s="24"/>
      <c r="JF47" s="24"/>
      <c r="JG47" s="24"/>
      <c r="JH47" s="313"/>
      <c r="JI47" s="313"/>
      <c r="JJ47" s="313"/>
      <c r="JK47" s="313"/>
      <c r="JL47" s="313"/>
      <c r="JM47" s="313"/>
      <c r="JN47" s="313"/>
      <c r="JO47" s="313"/>
      <c r="JP47" s="313"/>
      <c r="JQ47" s="313"/>
      <c r="JR47" s="313"/>
      <c r="JS47" s="313"/>
      <c r="JT47" s="313">
        <v>102</v>
      </c>
      <c r="JU47" s="313">
        <v>133</v>
      </c>
      <c r="JV47" s="313">
        <v>113</v>
      </c>
      <c r="JW47" s="313"/>
      <c r="JX47" s="313"/>
      <c r="JY47" s="313"/>
      <c r="JZ47" s="313"/>
      <c r="KA47" s="313"/>
      <c r="KB47" s="313"/>
      <c r="KC47" s="313"/>
      <c r="KD47" s="313"/>
      <c r="KE47" s="313"/>
      <c r="KF47" s="313"/>
      <c r="KG47" s="313"/>
      <c r="KH47" s="313"/>
      <c r="KI47" s="313"/>
      <c r="KJ47" s="313"/>
      <c r="KK47" s="313"/>
      <c r="KL47" s="313"/>
      <c r="KM47" s="313"/>
      <c r="KN47" s="313"/>
      <c r="KO47" s="313"/>
      <c r="KP47" s="313"/>
      <c r="KQ47" s="313"/>
      <c r="KR47" s="313"/>
      <c r="KS47" s="313"/>
      <c r="KT47" s="313"/>
      <c r="KU47" s="313"/>
      <c r="KV47" s="313"/>
      <c r="KW47" s="313"/>
      <c r="KX47" s="313"/>
      <c r="KY47" s="313"/>
      <c r="KZ47" s="313"/>
      <c r="LA47" s="313"/>
      <c r="LB47" s="313"/>
      <c r="LC47" s="313"/>
      <c r="LD47" s="313"/>
      <c r="LE47" s="313"/>
      <c r="LF47" s="313"/>
      <c r="LG47" s="313"/>
      <c r="LH47" s="313"/>
      <c r="LI47" s="313"/>
      <c r="LJ47" s="313"/>
      <c r="LK47" s="313"/>
      <c r="LL47" s="313"/>
      <c r="LM47" s="313"/>
      <c r="LN47" s="313"/>
      <c r="LO47" s="313"/>
      <c r="LP47" s="313"/>
      <c r="LQ47" s="313"/>
      <c r="LR47" s="313"/>
      <c r="LS47" s="313"/>
      <c r="LT47" s="313"/>
      <c r="LU47" s="313"/>
      <c r="LV47" s="313"/>
      <c r="LW47" s="313"/>
      <c r="LX47" s="313"/>
      <c r="LY47" s="313"/>
      <c r="LZ47" s="313"/>
      <c r="MA47" s="313"/>
      <c r="MB47" s="313"/>
      <c r="MC47" s="313"/>
      <c r="MD47" s="313"/>
      <c r="ME47" s="313"/>
      <c r="MF47" s="313"/>
      <c r="MG47" s="313"/>
      <c r="MH47" s="242"/>
      <c r="MI47" s="242"/>
      <c r="MJ47" s="242"/>
      <c r="MK47" s="242"/>
      <c r="ML47" s="242"/>
      <c r="MM47" s="242"/>
      <c r="MN47" s="242"/>
      <c r="MO47" s="242"/>
      <c r="MP47" s="242"/>
      <c r="MQ47" s="13"/>
      <c r="MR47" s="242"/>
      <c r="MS47" s="242"/>
      <c r="MT47" s="242"/>
      <c r="MU47" s="242"/>
      <c r="MV47" s="13"/>
      <c r="MW47" s="13"/>
      <c r="MX47" s="13"/>
      <c r="MY47" s="13"/>
      <c r="MZ47" s="13"/>
      <c r="NA47" s="13"/>
      <c r="NB47" s="13"/>
      <c r="NC47" s="13"/>
      <c r="ND47" s="13"/>
      <c r="NE47" s="13"/>
      <c r="NF47" s="13"/>
      <c r="NG47" s="13"/>
      <c r="NH47" s="13"/>
      <c r="NI47" s="13"/>
      <c r="NJ47" s="13"/>
      <c r="NK47" s="13"/>
      <c r="NL47" s="13"/>
      <c r="NM47" s="13"/>
      <c r="NN47" s="13"/>
      <c r="NO47" s="13"/>
      <c r="NP47" s="13"/>
      <c r="NQ47" s="13"/>
      <c r="NR47" s="13"/>
      <c r="NS47" s="13"/>
      <c r="NT47" s="13"/>
      <c r="NU47" s="13"/>
      <c r="NV47" s="13"/>
      <c r="NW47" s="13"/>
      <c r="NX47" s="13"/>
      <c r="NY47" s="13"/>
      <c r="NZ47" s="13"/>
      <c r="OA47" s="13"/>
      <c r="OB47" s="13"/>
      <c r="OC47" s="13"/>
      <c r="OD47" s="13"/>
      <c r="OE47" s="13"/>
      <c r="OF47" s="13"/>
      <c r="OG47" s="13"/>
      <c r="OH47" s="13"/>
      <c r="OI47" s="13"/>
      <c r="OJ47" s="8"/>
      <c r="OK47" s="36">
        <f t="shared" si="10"/>
        <v>0</v>
      </c>
      <c r="OL47" s="10">
        <f t="shared" si="11"/>
        <v>0</v>
      </c>
      <c r="OM47" s="10">
        <f t="shared" si="12"/>
        <v>126</v>
      </c>
      <c r="ON47" s="10">
        <f t="shared" si="13"/>
        <v>0</v>
      </c>
      <c r="OO47" s="10">
        <f t="shared" si="8"/>
        <v>120.53333333333333</v>
      </c>
    </row>
    <row r="48" spans="1:406">
      <c r="A48" s="8" t="s">
        <v>28</v>
      </c>
      <c r="B48" s="8" t="str">
        <f>VLOOKUP(A48,'미니게임_DATA(순)'!$A$4:$B$60,2,0)</f>
        <v>Y</v>
      </c>
      <c r="C48" s="242"/>
      <c r="D48" s="242"/>
      <c r="E48" s="242"/>
      <c r="F48" s="242"/>
      <c r="G48" s="242"/>
      <c r="H48" s="242"/>
      <c r="I48" s="242"/>
      <c r="J48" s="242"/>
      <c r="K48" s="242"/>
      <c r="L48" s="24"/>
      <c r="M48" s="24"/>
      <c r="N48" s="407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18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>
        <v>73</v>
      </c>
      <c r="HK48" s="24">
        <v>73</v>
      </c>
      <c r="HL48" s="24">
        <v>131</v>
      </c>
      <c r="HM48" s="24"/>
      <c r="HN48" s="24"/>
      <c r="HO48" s="24"/>
      <c r="HP48" s="24">
        <v>110</v>
      </c>
      <c r="HQ48" s="24">
        <v>129</v>
      </c>
      <c r="HR48" s="24">
        <v>102</v>
      </c>
      <c r="HS48" s="24">
        <v>126</v>
      </c>
      <c r="HT48" s="24">
        <v>127</v>
      </c>
      <c r="HU48" s="24">
        <v>85</v>
      </c>
      <c r="HV48" s="24"/>
      <c r="HW48" s="24"/>
      <c r="HX48" s="24"/>
      <c r="HY48" s="24"/>
      <c r="HZ48" s="24"/>
      <c r="IA48" s="24"/>
      <c r="IB48" s="24"/>
      <c r="IC48" s="24"/>
      <c r="ID48" s="24"/>
      <c r="IE48" s="24">
        <v>124</v>
      </c>
      <c r="IF48" s="24">
        <v>106</v>
      </c>
      <c r="IG48" s="24">
        <v>111</v>
      </c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18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313"/>
      <c r="JI48" s="313"/>
      <c r="JJ48" s="313"/>
      <c r="JK48" s="313"/>
      <c r="JL48" s="313"/>
      <c r="JM48" s="313"/>
      <c r="JN48" s="313"/>
      <c r="JO48" s="313"/>
      <c r="JP48" s="313"/>
      <c r="JQ48" s="313"/>
      <c r="JR48" s="313"/>
      <c r="JS48" s="313"/>
      <c r="JT48" s="313"/>
      <c r="JU48" s="313"/>
      <c r="JV48" s="313"/>
      <c r="JW48" s="313"/>
      <c r="JX48" s="313"/>
      <c r="JY48" s="313"/>
      <c r="JZ48" s="313"/>
      <c r="KA48" s="313"/>
      <c r="KB48" s="313"/>
      <c r="KC48" s="313"/>
      <c r="KD48" s="313"/>
      <c r="KE48" s="313"/>
      <c r="KF48" s="313"/>
      <c r="KG48" s="313"/>
      <c r="KH48" s="313"/>
      <c r="KI48" s="313"/>
      <c r="KJ48" s="313"/>
      <c r="KK48" s="313"/>
      <c r="KL48" s="313"/>
      <c r="KM48" s="313"/>
      <c r="KN48" s="313"/>
      <c r="KO48" s="313"/>
      <c r="KP48" s="313"/>
      <c r="KQ48" s="313"/>
      <c r="KR48" s="313"/>
      <c r="KS48" s="313"/>
      <c r="KT48" s="313"/>
      <c r="KU48" s="313"/>
      <c r="KV48" s="313"/>
      <c r="KW48" s="313"/>
      <c r="KX48" s="313"/>
      <c r="KY48" s="313"/>
      <c r="KZ48" s="313"/>
      <c r="LA48" s="313"/>
      <c r="LB48" s="313"/>
      <c r="LC48" s="313"/>
      <c r="LD48" s="313"/>
      <c r="LE48" s="313"/>
      <c r="LF48" s="313"/>
      <c r="LG48" s="313"/>
      <c r="LH48" s="313"/>
      <c r="LI48" s="313"/>
      <c r="LJ48" s="313"/>
      <c r="LK48" s="313"/>
      <c r="LL48" s="313"/>
      <c r="LM48" s="313"/>
      <c r="LN48" s="313"/>
      <c r="LO48" s="313"/>
      <c r="LP48" s="313"/>
      <c r="LQ48" s="313"/>
      <c r="LR48" s="313"/>
      <c r="LS48" s="313"/>
      <c r="LT48" s="313"/>
      <c r="LU48" s="313"/>
      <c r="LV48" s="313"/>
      <c r="LW48" s="313"/>
      <c r="LX48" s="313"/>
      <c r="LY48" s="313"/>
      <c r="LZ48" s="313"/>
      <c r="MA48" s="313"/>
      <c r="MB48" s="313"/>
      <c r="MC48" s="313"/>
      <c r="MD48" s="313"/>
      <c r="ME48" s="313"/>
      <c r="MF48" s="313"/>
      <c r="MG48" s="313"/>
      <c r="MH48" s="242"/>
      <c r="MI48" s="242"/>
      <c r="MJ48" s="242"/>
      <c r="MK48" s="242"/>
      <c r="ML48" s="242"/>
      <c r="MM48" s="242"/>
      <c r="MN48" s="242"/>
      <c r="MO48" s="242"/>
      <c r="MP48" s="242"/>
      <c r="MQ48" s="13"/>
      <c r="MR48" s="242"/>
      <c r="MS48" s="242"/>
      <c r="MT48" s="242"/>
      <c r="MU48" s="242"/>
      <c r="MV48" s="13"/>
      <c r="MW48" s="13"/>
      <c r="MX48" s="13"/>
      <c r="MY48" s="13"/>
      <c r="MZ48" s="13"/>
      <c r="NA48" s="13"/>
      <c r="NB48" s="13"/>
      <c r="NC48" s="13"/>
      <c r="ND48" s="13"/>
      <c r="NE48" s="13"/>
      <c r="NF48" s="13"/>
      <c r="NG48" s="13"/>
      <c r="NH48" s="13"/>
      <c r="NI48" s="13"/>
      <c r="NJ48" s="13"/>
      <c r="NK48" s="13"/>
      <c r="NL48" s="13"/>
      <c r="NM48" s="13"/>
      <c r="NN48" s="13"/>
      <c r="NO48" s="13"/>
      <c r="NP48" s="13"/>
      <c r="NQ48" s="13"/>
      <c r="NR48" s="13"/>
      <c r="NS48" s="13"/>
      <c r="NT48" s="13"/>
      <c r="NU48" s="13"/>
      <c r="NV48" s="13"/>
      <c r="NW48" s="13"/>
      <c r="NX48" s="13"/>
      <c r="NY48" s="13"/>
      <c r="NZ48" s="13"/>
      <c r="OA48" s="13"/>
      <c r="OB48" s="13"/>
      <c r="OC48" s="13"/>
      <c r="OD48" s="13"/>
      <c r="OE48" s="13"/>
      <c r="OF48" s="13"/>
      <c r="OG48" s="13"/>
      <c r="OH48" s="13"/>
      <c r="OI48" s="13"/>
      <c r="OJ48" s="8"/>
      <c r="OK48" s="36">
        <f t="shared" si="10"/>
        <v>0</v>
      </c>
      <c r="OL48" s="10">
        <f t="shared" si="11"/>
        <v>0</v>
      </c>
      <c r="OM48" s="10">
        <f t="shared" si="12"/>
        <v>0</v>
      </c>
      <c r="ON48" s="10">
        <f t="shared" si="13"/>
        <v>0</v>
      </c>
      <c r="OO48" s="10">
        <f t="shared" si="8"/>
        <v>108.08333333333333</v>
      </c>
    </row>
    <row r="49" spans="1:408">
      <c r="A49" s="8" t="s">
        <v>36</v>
      </c>
      <c r="B49" s="8" t="str">
        <f>VLOOKUP(A49,'미니게임_DATA(순)'!$A$4:$B$60,2,0)</f>
        <v>Y</v>
      </c>
      <c r="C49" s="242"/>
      <c r="D49" s="242"/>
      <c r="E49" s="242"/>
      <c r="F49" s="242"/>
      <c r="G49" s="242"/>
      <c r="H49" s="242"/>
      <c r="I49" s="242"/>
      <c r="J49" s="242"/>
      <c r="K49" s="242"/>
      <c r="L49" s="24"/>
      <c r="M49" s="24"/>
      <c r="N49" s="407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18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>
        <v>66</v>
      </c>
      <c r="HE49" s="24">
        <v>87</v>
      </c>
      <c r="HF49" s="24">
        <v>70</v>
      </c>
      <c r="HG49" s="24"/>
      <c r="HH49" s="24"/>
      <c r="HI49" s="24"/>
      <c r="HJ49" s="24">
        <v>79</v>
      </c>
      <c r="HK49" s="24">
        <v>88</v>
      </c>
      <c r="HL49" s="24">
        <v>100</v>
      </c>
      <c r="HM49" s="24">
        <v>98</v>
      </c>
      <c r="HN49" s="24">
        <v>78</v>
      </c>
      <c r="HO49" s="24">
        <v>94</v>
      </c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18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313"/>
      <c r="JI49" s="313"/>
      <c r="JJ49" s="313"/>
      <c r="JK49" s="313"/>
      <c r="JL49" s="313"/>
      <c r="JM49" s="313"/>
      <c r="JN49" s="313"/>
      <c r="JO49" s="313"/>
      <c r="JP49" s="313"/>
      <c r="JQ49" s="313"/>
      <c r="JR49" s="313"/>
      <c r="JS49" s="313"/>
      <c r="JT49" s="313"/>
      <c r="JU49" s="313"/>
      <c r="JV49" s="313"/>
      <c r="JW49" s="313"/>
      <c r="JX49" s="313"/>
      <c r="JY49" s="313"/>
      <c r="JZ49" s="313"/>
      <c r="KA49" s="313"/>
      <c r="KB49" s="313"/>
      <c r="KC49" s="313"/>
      <c r="KD49" s="313"/>
      <c r="KE49" s="313"/>
      <c r="KF49" s="313"/>
      <c r="KG49" s="313"/>
      <c r="KH49" s="313"/>
      <c r="KI49" s="313"/>
      <c r="KJ49" s="313"/>
      <c r="KK49" s="313"/>
      <c r="KL49" s="313"/>
      <c r="KM49" s="313"/>
      <c r="KN49" s="313"/>
      <c r="KO49" s="313"/>
      <c r="KP49" s="313"/>
      <c r="KQ49" s="313"/>
      <c r="KR49" s="313"/>
      <c r="KS49" s="313"/>
      <c r="KT49" s="313"/>
      <c r="KU49" s="313"/>
      <c r="KV49" s="313"/>
      <c r="KW49" s="313"/>
      <c r="KX49" s="313"/>
      <c r="KY49" s="313"/>
      <c r="KZ49" s="313"/>
      <c r="LA49" s="313"/>
      <c r="LB49" s="313"/>
      <c r="LC49" s="313"/>
      <c r="LD49" s="313"/>
      <c r="LE49" s="313"/>
      <c r="LF49" s="313"/>
      <c r="LG49" s="313"/>
      <c r="LH49" s="313"/>
      <c r="LI49" s="313"/>
      <c r="LJ49" s="313"/>
      <c r="LK49" s="313"/>
      <c r="LL49" s="313"/>
      <c r="LM49" s="313"/>
      <c r="LN49" s="313"/>
      <c r="LO49" s="313"/>
      <c r="LP49" s="313"/>
      <c r="LQ49" s="313"/>
      <c r="LR49" s="313"/>
      <c r="LS49" s="313"/>
      <c r="LT49" s="313"/>
      <c r="LU49" s="313"/>
      <c r="LV49" s="313"/>
      <c r="LW49" s="313"/>
      <c r="LX49" s="313"/>
      <c r="LY49" s="313"/>
      <c r="LZ49" s="313"/>
      <c r="MA49" s="313"/>
      <c r="MB49" s="313"/>
      <c r="MC49" s="313"/>
      <c r="MD49" s="313"/>
      <c r="ME49" s="313"/>
      <c r="MF49" s="313"/>
      <c r="MG49" s="313"/>
      <c r="MH49" s="242"/>
      <c r="MI49" s="242"/>
      <c r="MJ49" s="242"/>
      <c r="MK49" s="242"/>
      <c r="ML49" s="242"/>
      <c r="MM49" s="242"/>
      <c r="MN49" s="242"/>
      <c r="MO49" s="242"/>
      <c r="MP49" s="242"/>
      <c r="MQ49" s="13"/>
      <c r="MR49" s="242"/>
      <c r="MS49" s="242"/>
      <c r="MT49" s="242"/>
      <c r="MU49" s="242"/>
      <c r="MV49" s="13"/>
      <c r="MW49" s="13"/>
      <c r="MX49" s="13"/>
      <c r="MY49" s="13"/>
      <c r="MZ49" s="13"/>
      <c r="NA49" s="13"/>
      <c r="NB49" s="13"/>
      <c r="NC49" s="13"/>
      <c r="ND49" s="13"/>
      <c r="NE49" s="13"/>
      <c r="NF49" s="13"/>
      <c r="NG49" s="13"/>
      <c r="NH49" s="13"/>
      <c r="NI49" s="13"/>
      <c r="NJ49" s="13"/>
      <c r="NK49" s="13"/>
      <c r="NL49" s="13"/>
      <c r="NM49" s="13"/>
      <c r="NN49" s="13"/>
      <c r="NO49" s="13"/>
      <c r="NP49" s="13"/>
      <c r="NQ49" s="13"/>
      <c r="NR49" s="13"/>
      <c r="NS49" s="13"/>
      <c r="NT49" s="13"/>
      <c r="NU49" s="13"/>
      <c r="NV49" s="13"/>
      <c r="NW49" s="13"/>
      <c r="NX49" s="13"/>
      <c r="NY49" s="13"/>
      <c r="NZ49" s="13"/>
      <c r="OA49" s="13"/>
      <c r="OB49" s="13"/>
      <c r="OC49" s="13"/>
      <c r="OD49" s="13"/>
      <c r="OE49" s="13"/>
      <c r="OF49" s="13"/>
      <c r="OG49" s="13"/>
      <c r="OH49" s="13"/>
      <c r="OI49" s="13"/>
      <c r="OJ49" s="8"/>
      <c r="OK49" s="36">
        <f t="shared" si="10"/>
        <v>0</v>
      </c>
      <c r="OL49" s="10">
        <f t="shared" si="11"/>
        <v>0</v>
      </c>
      <c r="OM49" s="10">
        <f t="shared" si="12"/>
        <v>0</v>
      </c>
      <c r="ON49" s="10">
        <f t="shared" si="13"/>
        <v>0</v>
      </c>
      <c r="OO49" s="10">
        <f t="shared" si="8"/>
        <v>84.444444444444443</v>
      </c>
    </row>
    <row r="50" spans="1:408">
      <c r="A50" s="8" t="s">
        <v>21</v>
      </c>
      <c r="B50" s="8" t="str">
        <f>VLOOKUP(A50,'미니게임_DATA(순)'!$A$4:$B$60,2,0)</f>
        <v>Y</v>
      </c>
      <c r="C50" s="406"/>
      <c r="D50" s="406"/>
      <c r="E50" s="406"/>
      <c r="F50" s="406"/>
      <c r="G50" s="406"/>
      <c r="H50" s="406"/>
      <c r="I50" s="406"/>
      <c r="J50" s="406"/>
      <c r="K50" s="406"/>
      <c r="L50" s="362"/>
      <c r="M50" s="362"/>
      <c r="N50" s="362"/>
      <c r="O50" s="362"/>
      <c r="P50" s="362"/>
      <c r="Q50" s="362"/>
      <c r="R50" s="362"/>
      <c r="S50" s="362"/>
      <c r="T50" s="362"/>
      <c r="U50" s="362"/>
      <c r="V50" s="362"/>
      <c r="W50" s="362"/>
      <c r="X50" s="362"/>
      <c r="Y50" s="362"/>
      <c r="Z50" s="362"/>
      <c r="AA50" s="362"/>
      <c r="AB50" s="362"/>
      <c r="AC50" s="362"/>
      <c r="AD50" s="362"/>
      <c r="AE50" s="362"/>
      <c r="AF50" s="362"/>
      <c r="AG50" s="362"/>
      <c r="AH50" s="362"/>
      <c r="AI50" s="362"/>
      <c r="AJ50" s="362"/>
      <c r="AK50" s="362"/>
      <c r="AL50" s="362"/>
      <c r="AM50" s="362"/>
      <c r="AN50" s="362"/>
      <c r="AO50" s="362"/>
      <c r="AP50" s="362"/>
      <c r="AQ50" s="362"/>
      <c r="AR50" s="362"/>
      <c r="AS50" s="362"/>
      <c r="AT50" s="362"/>
      <c r="AU50" s="362"/>
      <c r="AV50" s="362"/>
      <c r="AW50" s="362"/>
      <c r="AX50" s="362"/>
      <c r="AY50" s="362"/>
      <c r="AZ50" s="362"/>
      <c r="BA50" s="362"/>
      <c r="BB50" s="362"/>
      <c r="BC50" s="362"/>
      <c r="BD50" s="362"/>
      <c r="BE50" s="362"/>
      <c r="BF50" s="362"/>
      <c r="BG50" s="362"/>
      <c r="BH50" s="362"/>
      <c r="BI50" s="362"/>
      <c r="BJ50" s="362"/>
      <c r="BK50" s="362"/>
      <c r="BL50" s="362"/>
      <c r="BM50" s="362"/>
      <c r="BN50" s="362"/>
      <c r="BO50" s="362"/>
      <c r="BP50" s="362"/>
      <c r="BQ50" s="362"/>
      <c r="BR50" s="362"/>
      <c r="BS50" s="362"/>
      <c r="BT50" s="362"/>
      <c r="BU50" s="362"/>
      <c r="BV50" s="362"/>
      <c r="BW50" s="362"/>
      <c r="BX50" s="362"/>
      <c r="BY50" s="362"/>
      <c r="BZ50" s="362"/>
      <c r="CA50" s="362"/>
      <c r="CB50" s="362"/>
      <c r="CC50" s="362"/>
      <c r="CD50" s="362"/>
      <c r="CE50" s="362"/>
      <c r="CF50" s="362"/>
      <c r="CG50" s="362"/>
      <c r="CH50" s="362"/>
      <c r="CI50" s="362"/>
      <c r="CJ50" s="362"/>
      <c r="CK50" s="362"/>
      <c r="CL50" s="362"/>
      <c r="CM50" s="362"/>
      <c r="CN50" s="362"/>
      <c r="CO50" s="362"/>
      <c r="CP50" s="362"/>
      <c r="CQ50" s="362"/>
      <c r="CR50" s="14"/>
      <c r="CS50" s="362"/>
      <c r="CT50" s="362"/>
      <c r="CU50" s="362"/>
      <c r="CV50" s="362"/>
      <c r="CW50" s="362"/>
      <c r="CX50" s="362"/>
      <c r="CY50" s="362"/>
      <c r="CZ50" s="362"/>
      <c r="DA50" s="362"/>
      <c r="DB50" s="362"/>
      <c r="DC50" s="362"/>
      <c r="DD50" s="362"/>
      <c r="DE50" s="362"/>
      <c r="DF50" s="362"/>
      <c r="DG50" s="362"/>
      <c r="DH50" s="362"/>
      <c r="DI50" s="362"/>
      <c r="DJ50" s="362"/>
      <c r="DK50" s="362"/>
      <c r="DL50" s="362"/>
      <c r="DM50" s="362"/>
      <c r="DN50" s="362"/>
      <c r="DO50" s="362"/>
      <c r="DP50" s="362"/>
      <c r="DQ50" s="362"/>
      <c r="DR50" s="362"/>
      <c r="DS50" s="362"/>
      <c r="DT50" s="362"/>
      <c r="DU50" s="362"/>
      <c r="DV50" s="362"/>
      <c r="DW50" s="362"/>
      <c r="DX50" s="362"/>
      <c r="DY50" s="362"/>
      <c r="DZ50" s="362"/>
      <c r="EA50" s="362"/>
      <c r="EB50" s="362"/>
      <c r="EC50" s="362"/>
      <c r="ED50" s="362"/>
      <c r="EE50" s="362"/>
      <c r="EF50" s="362"/>
      <c r="EG50" s="362"/>
      <c r="EH50" s="362"/>
      <c r="EI50" s="362"/>
      <c r="EJ50" s="362"/>
      <c r="EK50" s="362"/>
      <c r="EL50" s="362"/>
      <c r="EM50" s="362"/>
      <c r="EN50" s="362"/>
      <c r="EO50" s="362"/>
      <c r="EP50" s="362"/>
      <c r="EQ50" s="362"/>
      <c r="ER50" s="362"/>
      <c r="ES50" s="362"/>
      <c r="ET50" s="362"/>
      <c r="EU50" s="362"/>
      <c r="EV50" s="362"/>
      <c r="EW50" s="362"/>
      <c r="EX50" s="362"/>
      <c r="EY50" s="362"/>
      <c r="EZ50" s="362"/>
      <c r="FA50" s="362"/>
      <c r="FB50" s="362"/>
      <c r="FC50" s="362"/>
      <c r="FD50" s="362"/>
      <c r="FE50" s="362"/>
      <c r="FF50" s="362"/>
      <c r="FG50" s="362"/>
      <c r="FH50" s="362"/>
      <c r="FI50" s="362"/>
      <c r="FJ50" s="362"/>
      <c r="FK50" s="362"/>
      <c r="FL50" s="362"/>
      <c r="FM50" s="362"/>
      <c r="FN50" s="362"/>
      <c r="FO50" s="362"/>
      <c r="FP50" s="362"/>
      <c r="FQ50" s="362"/>
      <c r="FR50" s="362"/>
      <c r="FS50" s="362"/>
      <c r="FT50" s="362"/>
      <c r="FU50" s="362"/>
      <c r="FV50" s="362"/>
      <c r="FW50" s="362"/>
      <c r="FX50" s="362"/>
      <c r="FY50" s="362"/>
      <c r="FZ50" s="362"/>
      <c r="GA50" s="362"/>
      <c r="GB50" s="362"/>
      <c r="GC50" s="362"/>
      <c r="GD50" s="362"/>
      <c r="GE50" s="362"/>
      <c r="GF50" s="362"/>
      <c r="GG50" s="362"/>
      <c r="GH50" s="362"/>
      <c r="GI50" s="362"/>
      <c r="GJ50" s="362"/>
      <c r="GK50" s="362"/>
      <c r="GL50" s="362"/>
      <c r="GM50" s="362"/>
      <c r="GN50" s="362"/>
      <c r="GO50" s="362"/>
      <c r="GP50" s="362"/>
      <c r="GQ50" s="362"/>
      <c r="GR50" s="362"/>
      <c r="GS50" s="362"/>
      <c r="GT50" s="362"/>
      <c r="GU50" s="362"/>
      <c r="GV50" s="362"/>
      <c r="GW50" s="362"/>
      <c r="GX50" s="362"/>
      <c r="GY50" s="362"/>
      <c r="GZ50" s="362"/>
      <c r="HA50" s="362"/>
      <c r="HB50" s="362"/>
      <c r="HC50" s="362"/>
      <c r="HD50" s="362"/>
      <c r="HE50" s="362"/>
      <c r="HF50" s="362"/>
      <c r="HG50" s="362"/>
      <c r="HH50" s="362"/>
      <c r="HI50" s="362"/>
      <c r="HJ50" s="362"/>
      <c r="HK50" s="362"/>
      <c r="HL50" s="362"/>
      <c r="HM50" s="362"/>
      <c r="HN50" s="362"/>
      <c r="HO50" s="362"/>
      <c r="HP50" s="362"/>
      <c r="HQ50" s="362"/>
      <c r="HR50" s="362"/>
      <c r="HS50" s="362"/>
      <c r="HT50" s="362"/>
      <c r="HU50" s="362"/>
      <c r="HV50" s="362"/>
      <c r="HW50" s="362"/>
      <c r="HX50" s="362"/>
      <c r="HY50" s="362"/>
      <c r="HZ50" s="362"/>
      <c r="IA50" s="362"/>
      <c r="IB50" s="362">
        <v>67</v>
      </c>
      <c r="IC50" s="362">
        <v>69</v>
      </c>
      <c r="ID50" s="362"/>
      <c r="IE50" s="362">
        <v>89</v>
      </c>
      <c r="IF50" s="362">
        <v>69</v>
      </c>
      <c r="IG50" s="362">
        <v>61</v>
      </c>
      <c r="IH50" s="362">
        <v>37</v>
      </c>
      <c r="II50" s="362">
        <v>39</v>
      </c>
      <c r="IJ50" s="362">
        <v>49</v>
      </c>
      <c r="IK50" s="362">
        <v>60</v>
      </c>
      <c r="IL50" s="362">
        <v>72</v>
      </c>
      <c r="IM50" s="362">
        <v>64</v>
      </c>
      <c r="IN50" s="362"/>
      <c r="IO50" s="362"/>
      <c r="IP50" s="362"/>
      <c r="IQ50" s="362">
        <v>59</v>
      </c>
      <c r="IR50" s="362">
        <v>49</v>
      </c>
      <c r="IS50" s="362">
        <v>86</v>
      </c>
      <c r="IT50" s="362"/>
      <c r="IU50" s="362"/>
      <c r="IV50" s="362"/>
      <c r="IW50" s="14"/>
      <c r="IX50" s="362"/>
      <c r="IY50" s="362"/>
      <c r="IZ50" s="362"/>
      <c r="JA50" s="362"/>
      <c r="JB50" s="362"/>
      <c r="JC50" s="362"/>
      <c r="JD50" s="362"/>
      <c r="JE50" s="362"/>
      <c r="JF50" s="362"/>
      <c r="JG50" s="362"/>
      <c r="JH50" s="313">
        <v>115</v>
      </c>
      <c r="JI50" s="313">
        <v>96</v>
      </c>
      <c r="JJ50" s="313">
        <v>87</v>
      </c>
      <c r="JK50" s="313"/>
      <c r="JL50" s="313"/>
      <c r="JM50" s="313"/>
      <c r="JN50" s="313"/>
      <c r="JO50" s="313"/>
      <c r="JP50" s="313"/>
      <c r="JQ50" s="313">
        <v>94</v>
      </c>
      <c r="JR50" s="313">
        <v>107</v>
      </c>
      <c r="JS50" s="313">
        <v>137</v>
      </c>
      <c r="JT50" s="313">
        <v>84</v>
      </c>
      <c r="JU50" s="313">
        <v>57</v>
      </c>
      <c r="JV50" s="313">
        <v>68</v>
      </c>
      <c r="JW50" s="313">
        <v>82</v>
      </c>
      <c r="JX50" s="313">
        <v>70</v>
      </c>
      <c r="JY50" s="313">
        <v>99</v>
      </c>
      <c r="JZ50" s="313"/>
      <c r="KA50" s="313"/>
      <c r="KB50" s="313"/>
      <c r="KC50" s="313"/>
      <c r="KD50" s="313"/>
      <c r="KE50" s="313"/>
      <c r="KF50" s="313"/>
      <c r="KG50" s="313"/>
      <c r="KH50" s="313"/>
      <c r="KI50" s="313"/>
      <c r="KJ50" s="313"/>
      <c r="KK50" s="313"/>
      <c r="KL50" s="313">
        <v>67</v>
      </c>
      <c r="KM50" s="313">
        <v>56</v>
      </c>
      <c r="KN50" s="313">
        <v>76</v>
      </c>
      <c r="KO50" s="313"/>
      <c r="KP50" s="313"/>
      <c r="KQ50" s="313"/>
      <c r="KR50" s="313"/>
      <c r="KS50" s="313"/>
      <c r="KT50" s="313"/>
      <c r="KU50" s="313">
        <v>81</v>
      </c>
      <c r="KV50" s="313">
        <v>84</v>
      </c>
      <c r="KW50" s="313">
        <v>69</v>
      </c>
      <c r="KX50" s="313">
        <v>103</v>
      </c>
      <c r="KY50" s="313">
        <v>101</v>
      </c>
      <c r="KZ50" s="313">
        <v>92</v>
      </c>
      <c r="LA50" s="313">
        <v>72</v>
      </c>
      <c r="LB50" s="313">
        <v>108</v>
      </c>
      <c r="LC50" s="313">
        <v>82</v>
      </c>
      <c r="LD50" s="313">
        <v>85</v>
      </c>
      <c r="LE50" s="313">
        <v>120</v>
      </c>
      <c r="LF50" s="313">
        <v>124</v>
      </c>
      <c r="LG50" s="313">
        <v>84</v>
      </c>
      <c r="LH50" s="313">
        <v>113</v>
      </c>
      <c r="LI50" s="313">
        <v>108</v>
      </c>
      <c r="LJ50" s="313"/>
      <c r="LK50" s="313"/>
      <c r="LL50" s="313"/>
      <c r="LM50" s="313">
        <v>110</v>
      </c>
      <c r="LN50" s="313">
        <v>95</v>
      </c>
      <c r="LO50" s="313">
        <v>112</v>
      </c>
      <c r="LP50" s="313"/>
      <c r="LQ50" s="313"/>
      <c r="LR50" s="313"/>
      <c r="LS50" s="313"/>
      <c r="LT50" s="313"/>
      <c r="LU50" s="313"/>
      <c r="LV50" s="313"/>
      <c r="LW50" s="313"/>
      <c r="LX50" s="313"/>
      <c r="LY50" s="313"/>
      <c r="LZ50" s="313"/>
      <c r="MA50" s="313"/>
      <c r="MB50" s="313"/>
      <c r="MC50" s="313"/>
      <c r="MD50" s="313"/>
      <c r="ME50" s="313"/>
      <c r="MF50" s="313"/>
      <c r="MG50" s="313"/>
      <c r="MH50" s="242"/>
      <c r="MI50" s="242"/>
      <c r="MJ50" s="242"/>
      <c r="MK50" s="242"/>
      <c r="ML50" s="242"/>
      <c r="MM50" s="242"/>
      <c r="MN50" s="242"/>
      <c r="MO50" s="242"/>
      <c r="MP50" s="242"/>
      <c r="MQ50" s="13"/>
      <c r="MR50" s="242"/>
      <c r="MS50" s="242"/>
      <c r="MT50" s="242"/>
      <c r="MU50" s="242"/>
      <c r="MV50" s="13"/>
      <c r="MW50" s="13"/>
      <c r="MX50" s="13"/>
      <c r="MY50" s="13"/>
      <c r="MZ50" s="13"/>
      <c r="NA50" s="13"/>
      <c r="NB50" s="13"/>
      <c r="NC50" s="13"/>
      <c r="ND50" s="13"/>
      <c r="NE50" s="13"/>
      <c r="NF50" s="13"/>
      <c r="NG50" s="13"/>
      <c r="NH50" s="13"/>
      <c r="NI50" s="13"/>
      <c r="NJ50" s="13"/>
      <c r="NK50" s="13"/>
      <c r="NL50" s="13"/>
      <c r="NM50" s="13"/>
      <c r="NN50" s="13"/>
      <c r="NO50" s="13"/>
      <c r="NP50" s="13"/>
      <c r="NQ50" s="13"/>
      <c r="NR50" s="13"/>
      <c r="NS50" s="13"/>
      <c r="NT50" s="13"/>
      <c r="NU50" s="13"/>
      <c r="NV50" s="13"/>
      <c r="NW50" s="13"/>
      <c r="NX50" s="13"/>
      <c r="NY50" s="13"/>
      <c r="NZ50" s="13"/>
      <c r="OA50" s="13"/>
      <c r="OB50" s="13"/>
      <c r="OC50" s="13"/>
      <c r="OD50" s="13"/>
      <c r="OE50" s="13"/>
      <c r="OF50" s="13"/>
      <c r="OG50" s="13"/>
      <c r="OH50" s="13"/>
      <c r="OI50" s="13"/>
      <c r="OJ50" s="8"/>
      <c r="OK50" s="36">
        <f t="shared" si="10"/>
        <v>0</v>
      </c>
      <c r="OL50" s="10">
        <f t="shared" si="11"/>
        <v>0</v>
      </c>
      <c r="OM50" s="10">
        <f t="shared" si="12"/>
        <v>92.060606060606062</v>
      </c>
      <c r="ON50" s="10">
        <f t="shared" si="13"/>
        <v>0</v>
      </c>
      <c r="OO50" s="10">
        <f t="shared" si="8"/>
        <v>83.148936170212764</v>
      </c>
    </row>
    <row r="51" spans="1:408">
      <c r="A51" s="444" t="s">
        <v>342</v>
      </c>
      <c r="B51" s="8" t="str">
        <f>VLOOKUP(A51,'미니게임_DATA(순)'!$A$4:$B$60,2,0)</f>
        <v>Y</v>
      </c>
      <c r="C51" s="256"/>
      <c r="D51" s="256"/>
      <c r="E51" s="256"/>
      <c r="F51" s="256"/>
      <c r="G51" s="256"/>
      <c r="H51" s="256"/>
      <c r="I51" s="256"/>
      <c r="J51" s="256"/>
      <c r="K51" s="256"/>
      <c r="L51" s="396"/>
      <c r="M51" s="396"/>
      <c r="N51" s="396"/>
      <c r="O51" s="396"/>
      <c r="P51" s="396"/>
      <c r="Q51" s="396"/>
      <c r="R51" s="396"/>
      <c r="S51" s="396"/>
      <c r="T51" s="396"/>
      <c r="U51" s="396"/>
      <c r="V51" s="396"/>
      <c r="W51" s="396"/>
      <c r="X51" s="396"/>
      <c r="Y51" s="396"/>
      <c r="Z51" s="396"/>
      <c r="AA51" s="396"/>
      <c r="AB51" s="396"/>
      <c r="AC51" s="396"/>
      <c r="AD51" s="396"/>
      <c r="AE51" s="396"/>
      <c r="AF51" s="396"/>
      <c r="AG51" s="396"/>
      <c r="AH51" s="396"/>
      <c r="AI51" s="396"/>
      <c r="AJ51" s="396"/>
      <c r="AK51" s="396"/>
      <c r="AL51" s="396"/>
      <c r="AM51" s="396"/>
      <c r="AN51" s="396"/>
      <c r="AO51" s="396"/>
      <c r="AP51" s="396"/>
      <c r="AQ51" s="396"/>
      <c r="AR51" s="396"/>
      <c r="AS51" s="396"/>
      <c r="AT51" s="396"/>
      <c r="AU51" s="396"/>
      <c r="AV51" s="396"/>
      <c r="AW51" s="396"/>
      <c r="AX51" s="396"/>
      <c r="AY51" s="396"/>
      <c r="AZ51" s="396"/>
      <c r="BA51" s="396"/>
      <c r="BB51" s="396"/>
      <c r="BC51" s="396"/>
      <c r="BD51" s="396"/>
      <c r="BE51" s="396"/>
      <c r="BF51" s="396"/>
      <c r="BG51" s="396"/>
      <c r="BH51" s="396"/>
      <c r="BI51" s="396"/>
      <c r="BJ51" s="396"/>
      <c r="BK51" s="396"/>
      <c r="BL51" s="396"/>
      <c r="BM51" s="396"/>
      <c r="BN51" s="396"/>
      <c r="BO51" s="396"/>
      <c r="BP51" s="396"/>
      <c r="BQ51" s="396"/>
      <c r="BR51" s="396"/>
      <c r="BS51" s="396"/>
      <c r="BT51" s="396"/>
      <c r="BU51" s="396"/>
      <c r="BV51" s="396"/>
      <c r="BW51" s="396"/>
      <c r="BX51" s="396"/>
      <c r="BY51" s="396"/>
      <c r="BZ51" s="396"/>
      <c r="CA51" s="396"/>
      <c r="CB51" s="396"/>
      <c r="CC51" s="396"/>
      <c r="CD51" s="396"/>
      <c r="CE51" s="396"/>
      <c r="CF51" s="396"/>
      <c r="CG51" s="396"/>
      <c r="CH51" s="396"/>
      <c r="CI51" s="396"/>
      <c r="CJ51" s="396"/>
      <c r="CK51" s="396"/>
      <c r="CL51" s="396"/>
      <c r="CM51" s="396"/>
      <c r="CN51" s="396"/>
      <c r="CO51" s="396"/>
      <c r="CP51" s="396"/>
      <c r="CQ51" s="396"/>
      <c r="CR51" s="444"/>
      <c r="IW51" s="444"/>
      <c r="MQ51" s="444"/>
      <c r="MR51" s="396"/>
      <c r="MS51" s="396"/>
      <c r="MT51" s="396"/>
      <c r="MU51" s="396"/>
      <c r="MV51" s="444"/>
      <c r="MW51" s="444"/>
      <c r="MX51" s="444"/>
      <c r="MY51" s="444"/>
      <c r="MZ51" s="444"/>
      <c r="NA51" s="444"/>
      <c r="NB51" s="13"/>
      <c r="NC51" s="13"/>
      <c r="ND51" s="13"/>
      <c r="NE51" s="13"/>
      <c r="NF51" s="13"/>
      <c r="NG51" s="13"/>
      <c r="NH51" s="13"/>
      <c r="NI51" s="13"/>
      <c r="NJ51" s="13"/>
      <c r="NK51" s="13"/>
      <c r="NL51" s="13"/>
      <c r="NM51" s="13"/>
      <c r="NN51" s="13"/>
      <c r="NO51" s="13"/>
      <c r="NP51" s="13"/>
      <c r="NQ51" s="13"/>
      <c r="NR51" s="13"/>
      <c r="NS51" s="13"/>
      <c r="NT51" s="13"/>
      <c r="NU51" s="13"/>
      <c r="NV51" s="13"/>
      <c r="NW51" s="13"/>
      <c r="NX51" s="369"/>
      <c r="NY51" s="369"/>
      <c r="NZ51" s="369"/>
      <c r="OA51" s="369"/>
      <c r="OB51" s="369"/>
      <c r="OC51" s="369"/>
      <c r="OD51" s="369"/>
      <c r="OE51" s="369"/>
      <c r="OF51" s="369"/>
      <c r="OG51" s="369"/>
      <c r="OH51" s="369"/>
      <c r="OI51" s="369"/>
      <c r="OJ51" s="8"/>
      <c r="OK51" s="36">
        <f t="shared" si="10"/>
        <v>0</v>
      </c>
      <c r="OL51" s="10">
        <f t="shared" si="11"/>
        <v>0</v>
      </c>
      <c r="OM51" s="10">
        <f t="shared" si="12"/>
        <v>0</v>
      </c>
      <c r="ON51" s="10">
        <f t="shared" si="13"/>
        <v>0</v>
      </c>
      <c r="OO51" s="10">
        <f>IFERROR(SUM(A51:OJ51)/COUNTIF(A51:OJ51,"&gt;0"),0)</f>
        <v>0</v>
      </c>
      <c r="OP51" s="429"/>
      <c r="OQ51" s="429"/>
      <c r="OR51" s="429"/>
    </row>
    <row r="52" spans="1:408">
      <c r="NQ52" s="313"/>
      <c r="NR52" s="313"/>
      <c r="NS52" s="313"/>
      <c r="NT52" s="313"/>
      <c r="NU52" s="313"/>
      <c r="NV52" s="313"/>
      <c r="NW52" s="313"/>
      <c r="NX52" s="313"/>
      <c r="NY52" s="313"/>
      <c r="NZ52" s="313"/>
      <c r="OA52" s="313"/>
      <c r="OB52" s="313"/>
      <c r="OC52" s="313"/>
      <c r="OD52" s="313"/>
      <c r="OE52" s="313"/>
      <c r="OF52" s="313"/>
      <c r="OG52" s="313"/>
      <c r="OH52" s="313"/>
      <c r="OI52" s="313"/>
      <c r="OK52" s="242"/>
      <c r="OL52" s="242"/>
      <c r="OM52" s="242"/>
      <c r="ON52" s="430"/>
      <c r="OO52" s="431"/>
      <c r="OP52" s="431"/>
      <c r="OQ52" s="431"/>
      <c r="OR52" s="431"/>
    </row>
    <row r="53" spans="1:408">
      <c r="NQ53" s="313"/>
      <c r="NR53" s="313"/>
      <c r="NS53" s="313"/>
      <c r="NT53" s="313"/>
      <c r="NU53" s="313"/>
      <c r="NV53" s="313"/>
      <c r="NW53" s="313"/>
      <c r="NX53" s="313"/>
      <c r="NY53" s="313"/>
      <c r="NZ53" s="313"/>
      <c r="OA53" s="313"/>
      <c r="OB53" s="313"/>
      <c r="OC53" s="313"/>
      <c r="OD53" s="313"/>
      <c r="OE53" s="313"/>
      <c r="OF53" s="313"/>
      <c r="OG53" s="313"/>
      <c r="OH53" s="313"/>
      <c r="OI53" s="313"/>
      <c r="OK53" s="242"/>
      <c r="OL53" s="242"/>
      <c r="OM53" s="242"/>
      <c r="ON53" s="430"/>
      <c r="OO53" s="431"/>
      <c r="OP53" s="431"/>
      <c r="OQ53" s="431"/>
      <c r="OR53" s="431"/>
    </row>
    <row r="54" spans="1:408">
      <c r="NQ54" s="313"/>
      <c r="NR54" s="313"/>
      <c r="NS54" s="313"/>
      <c r="NT54" s="313"/>
      <c r="NU54" s="313"/>
      <c r="NV54" s="313"/>
      <c r="NW54" s="313"/>
      <c r="NX54" s="313"/>
      <c r="NY54" s="313"/>
      <c r="NZ54" s="313"/>
      <c r="OA54" s="313"/>
      <c r="OB54" s="313"/>
      <c r="OC54" s="313"/>
      <c r="OD54" s="313"/>
      <c r="OE54" s="313"/>
      <c r="OF54" s="313"/>
      <c r="OG54" s="313"/>
      <c r="OH54" s="313"/>
      <c r="OI54" s="313"/>
      <c r="OK54" s="242"/>
      <c r="OL54" s="242"/>
      <c r="OM54" s="242"/>
      <c r="ON54" s="430"/>
      <c r="OO54" s="431"/>
      <c r="OP54" s="431"/>
      <c r="OQ54" s="431"/>
      <c r="OR54" s="431"/>
    </row>
    <row r="55" spans="1:408">
      <c r="NQ55" s="313"/>
      <c r="NR55" s="313"/>
      <c r="NS55" s="313"/>
      <c r="NT55" s="313"/>
      <c r="NU55" s="313"/>
      <c r="NV55" s="313"/>
      <c r="NW55" s="313"/>
      <c r="NX55" s="313"/>
      <c r="NY55" s="313"/>
      <c r="NZ55" s="313"/>
      <c r="OA55" s="313"/>
      <c r="OB55" s="313"/>
      <c r="OC55" s="313"/>
      <c r="OD55" s="313"/>
      <c r="OE55" s="313"/>
      <c r="OF55" s="313"/>
      <c r="OG55" s="313"/>
      <c r="OH55" s="313"/>
      <c r="OI55" s="313"/>
      <c r="OK55" s="242"/>
      <c r="OL55" s="242"/>
      <c r="OM55" s="242"/>
      <c r="ON55" s="430"/>
      <c r="OO55" s="431"/>
      <c r="OP55" s="431"/>
      <c r="OQ55" s="431"/>
      <c r="OR55" s="431"/>
    </row>
    <row r="56" spans="1:408">
      <c r="NQ56" s="313"/>
      <c r="NR56" s="313"/>
      <c r="NS56" s="313"/>
      <c r="NT56" s="313"/>
      <c r="NU56" s="313"/>
      <c r="NV56" s="313"/>
      <c r="NW56" s="313"/>
      <c r="NX56" s="313"/>
      <c r="NY56" s="313"/>
      <c r="NZ56" s="313"/>
      <c r="OA56" s="313"/>
      <c r="OB56" s="313"/>
      <c r="OC56" s="313"/>
      <c r="OD56" s="313"/>
      <c r="OE56" s="313"/>
      <c r="OF56" s="313"/>
      <c r="OG56" s="313"/>
      <c r="OH56" s="313"/>
      <c r="OI56" s="313"/>
      <c r="OK56" s="242"/>
      <c r="OL56" s="242"/>
      <c r="OM56" s="242"/>
      <c r="ON56" s="430"/>
      <c r="OO56" s="431"/>
      <c r="OP56" s="431"/>
      <c r="OQ56" s="431"/>
      <c r="OR56" s="431"/>
    </row>
    <row r="57" spans="1:408">
      <c r="NQ57" s="313"/>
      <c r="NR57" s="313"/>
      <c r="NS57" s="313"/>
      <c r="NT57" s="313"/>
      <c r="NU57" s="313"/>
      <c r="NV57" s="313"/>
      <c r="NW57" s="313"/>
      <c r="NX57" s="365"/>
      <c r="NY57" s="365"/>
      <c r="NZ57" s="365"/>
      <c r="OA57" s="365"/>
      <c r="OB57" s="455"/>
      <c r="OC57" s="429"/>
      <c r="OD57" s="429"/>
      <c r="OE57" s="429"/>
      <c r="OF57" s="429"/>
      <c r="OG57" s="429"/>
      <c r="OH57" s="429"/>
      <c r="OI57" s="429"/>
      <c r="OK57" s="242"/>
      <c r="OL57" s="242"/>
      <c r="OM57" s="242"/>
      <c r="ON57" s="430"/>
      <c r="OO57" s="431"/>
      <c r="OP57" s="431"/>
      <c r="OQ57" s="431"/>
      <c r="OR57" s="431"/>
    </row>
    <row r="58" spans="1:408" ht="18.75">
      <c r="NQ58" s="313"/>
      <c r="NR58" s="313"/>
      <c r="NS58" s="313"/>
      <c r="NT58" s="313"/>
      <c r="NU58" s="313"/>
      <c r="NV58" s="313"/>
      <c r="NW58" s="313"/>
      <c r="NX58" s="313"/>
      <c r="NY58" s="242"/>
      <c r="NZ58" s="456"/>
      <c r="OA58" s="242"/>
      <c r="OB58" s="430"/>
      <c r="OC58" s="431"/>
      <c r="OD58" s="431"/>
      <c r="OE58" s="431"/>
      <c r="OF58" s="431"/>
      <c r="OG58" s="431"/>
      <c r="OH58" s="431"/>
      <c r="OI58" s="431"/>
      <c r="OK58" s="242"/>
      <c r="OL58" s="242"/>
      <c r="OM58" s="242"/>
      <c r="ON58" s="430"/>
      <c r="OO58" s="431"/>
      <c r="OP58" s="431"/>
      <c r="OQ58" s="431"/>
      <c r="OR58" s="431"/>
    </row>
    <row r="59" spans="1:408">
      <c r="NQ59" s="313"/>
      <c r="NR59" s="313"/>
      <c r="NS59" s="313"/>
      <c r="NT59" s="428"/>
      <c r="NU59" s="428"/>
      <c r="NV59" s="428"/>
      <c r="NW59" s="428"/>
      <c r="NX59" s="313"/>
      <c r="NY59" s="242"/>
      <c r="NZ59" s="242"/>
      <c r="OA59" s="242"/>
      <c r="OB59" s="430"/>
      <c r="OC59" s="431"/>
      <c r="OD59" s="431"/>
      <c r="OE59" s="431"/>
      <c r="OF59" s="431"/>
      <c r="OG59" s="431"/>
      <c r="OH59" s="431"/>
      <c r="OI59" s="431"/>
      <c r="OK59" s="242"/>
      <c r="OL59" s="242"/>
      <c r="OM59" s="242"/>
      <c r="ON59" s="430"/>
      <c r="OO59" s="431"/>
      <c r="OP59" s="431"/>
      <c r="OQ59" s="431"/>
      <c r="OR59" s="431"/>
    </row>
    <row r="60" spans="1:408">
      <c r="NQ60" s="313"/>
      <c r="NR60" s="313"/>
      <c r="NS60" s="313"/>
      <c r="NT60" s="313"/>
      <c r="NU60" s="313"/>
      <c r="NV60" s="313"/>
      <c r="NW60" s="313"/>
      <c r="NX60" s="313"/>
      <c r="NY60" s="242"/>
      <c r="NZ60" s="242"/>
      <c r="OA60" s="242"/>
      <c r="OB60" s="430"/>
      <c r="OC60" s="431"/>
      <c r="OD60" s="431"/>
      <c r="OE60" s="431"/>
      <c r="OF60" s="431"/>
      <c r="OG60" s="431"/>
      <c r="OH60" s="431"/>
      <c r="OI60" s="431"/>
      <c r="OK60" s="242"/>
      <c r="OL60" s="242"/>
      <c r="OM60" s="242"/>
      <c r="ON60" s="430"/>
      <c r="OO60" s="431"/>
      <c r="OP60" s="431"/>
      <c r="OQ60" s="431"/>
      <c r="OR60" s="431"/>
    </row>
    <row r="61" spans="1:408">
      <c r="NX61" s="313"/>
      <c r="NY61" s="242"/>
      <c r="NZ61" s="242"/>
      <c r="OA61" s="242"/>
      <c r="OB61" s="430"/>
      <c r="OC61" s="431"/>
      <c r="OD61" s="431"/>
      <c r="OE61" s="431"/>
      <c r="OF61" s="431"/>
      <c r="OG61" s="431"/>
      <c r="OH61" s="431"/>
      <c r="OI61" s="431"/>
    </row>
    <row r="62" spans="1:408">
      <c r="NX62" s="313"/>
      <c r="NY62" s="242"/>
      <c r="NZ62" s="242"/>
      <c r="OA62" s="242"/>
      <c r="OB62" s="430"/>
      <c r="OC62" s="431"/>
      <c r="OD62" s="431"/>
      <c r="OE62" s="431"/>
      <c r="OF62" s="431"/>
      <c r="OG62" s="431"/>
      <c r="OH62" s="431"/>
      <c r="OI62" s="431"/>
    </row>
    <row r="63" spans="1:408">
      <c r="NX63" s="313"/>
      <c r="NY63" s="242"/>
      <c r="NZ63" s="242"/>
      <c r="OA63" s="242"/>
      <c r="OB63" s="430"/>
      <c r="OC63" s="431"/>
      <c r="OD63" s="431"/>
      <c r="OE63" s="431"/>
      <c r="OF63" s="431"/>
      <c r="OG63" s="431"/>
      <c r="OH63" s="431"/>
      <c r="OI63" s="431"/>
    </row>
    <row r="64" spans="1:408">
      <c r="NX64" s="313"/>
      <c r="NY64" s="242"/>
      <c r="NZ64" s="242"/>
      <c r="OA64" s="242"/>
      <c r="OB64" s="430"/>
      <c r="OC64" s="431"/>
      <c r="OD64" s="431"/>
      <c r="OE64" s="431"/>
      <c r="OF64" s="431"/>
      <c r="OG64" s="431"/>
      <c r="OH64" s="431"/>
      <c r="OI64" s="431"/>
    </row>
    <row r="65" spans="388:399">
      <c r="NX65" s="313"/>
      <c r="NY65" s="242"/>
      <c r="NZ65" s="242"/>
      <c r="OA65" s="242"/>
      <c r="OB65" s="430"/>
      <c r="OC65" s="431"/>
      <c r="OD65" s="431"/>
      <c r="OE65" s="431"/>
      <c r="OF65" s="431"/>
      <c r="OG65" s="431"/>
      <c r="OH65" s="431"/>
      <c r="OI65" s="431"/>
    </row>
    <row r="66" spans="388:399">
      <c r="NX66" s="313"/>
      <c r="NY66" s="242"/>
      <c r="NZ66" s="242"/>
      <c r="OA66" s="242"/>
      <c r="OB66" s="430"/>
      <c r="OC66" s="431"/>
      <c r="OD66" s="431"/>
      <c r="OE66" s="431"/>
      <c r="OF66" s="431"/>
      <c r="OG66" s="431"/>
      <c r="OH66" s="431"/>
      <c r="OI66" s="431"/>
    </row>
  </sheetData>
  <autoFilter ref="A2:OO50">
    <filterColumn colId="1">
      <filters>
        <filter val="Y"/>
      </filters>
    </filterColumn>
    <sortState ref="A4:OO51">
      <sortCondition descending="1" ref="OK2:OK50"/>
    </sortState>
  </autoFilter>
  <mergeCells count="119">
    <mergeCell ref="OD1:OF1"/>
    <mergeCell ref="OA1:OC1"/>
    <mergeCell ref="NU1:NW1"/>
    <mergeCell ref="NR1:NT1"/>
    <mergeCell ref="NO1:NQ1"/>
    <mergeCell ref="NI1:NK1"/>
    <mergeCell ref="HS1:HU1"/>
    <mergeCell ref="JZ1:KB1"/>
    <mergeCell ref="HV1:HX1"/>
    <mergeCell ref="MY1:NA1"/>
    <mergeCell ref="KO1:KQ1"/>
    <mergeCell ref="KL1:KN1"/>
    <mergeCell ref="LY1:MA1"/>
    <mergeCell ref="LV1:LX1"/>
    <mergeCell ref="LS1:LU1"/>
    <mergeCell ref="IB1:ID1"/>
    <mergeCell ref="HY1:IA1"/>
    <mergeCell ref="IH1:IJ1"/>
    <mergeCell ref="IE1:IG1"/>
    <mergeCell ref="IN1:IP1"/>
    <mergeCell ref="NF1:NH1"/>
    <mergeCell ref="NB1:NE1"/>
    <mergeCell ref="NL1:NN1"/>
    <mergeCell ref="NX1:NZ1"/>
    <mergeCell ref="HA1:HC1"/>
    <mergeCell ref="HD1:HF1"/>
    <mergeCell ref="ME1:MG1"/>
    <mergeCell ref="HJ1:HL1"/>
    <mergeCell ref="MH1:MJ1"/>
    <mergeCell ref="MB1:MD1"/>
    <mergeCell ref="LP1:LR1"/>
    <mergeCell ref="LJ1:LL1"/>
    <mergeCell ref="LD1:LF1"/>
    <mergeCell ref="LA1:LC1"/>
    <mergeCell ref="JE1:JG1"/>
    <mergeCell ref="KU1:KW1"/>
    <mergeCell ref="JH1:JJ1"/>
    <mergeCell ref="JK1:JM1"/>
    <mergeCell ref="LG1:LI1"/>
    <mergeCell ref="KX1:KZ1"/>
    <mergeCell ref="KR1:KT1"/>
    <mergeCell ref="KI1:KK1"/>
    <mergeCell ref="KF1:KH1"/>
    <mergeCell ref="KC1:KE1"/>
    <mergeCell ref="IK1:IM1"/>
    <mergeCell ref="HM1:HO1"/>
    <mergeCell ref="HP1:HR1"/>
    <mergeCell ref="AM1:AP1"/>
    <mergeCell ref="AQ1:AR1"/>
    <mergeCell ref="HG1:HI1"/>
    <mergeCell ref="DO1:DT1"/>
    <mergeCell ref="DU1:DW1"/>
    <mergeCell ref="EA1:EC1"/>
    <mergeCell ref="DK1:DN1"/>
    <mergeCell ref="EI1:EL1"/>
    <mergeCell ref="ES1:FA1"/>
    <mergeCell ref="FB1:FD1"/>
    <mergeCell ref="FE1:FG1"/>
    <mergeCell ref="FN1:FP1"/>
    <mergeCell ref="GF1:GH1"/>
    <mergeCell ref="FS1:FU1"/>
    <mergeCell ref="EM1:EN1"/>
    <mergeCell ref="EO1:ER1"/>
    <mergeCell ref="FY1:GB1"/>
    <mergeCell ref="FQ1:FR1"/>
    <mergeCell ref="FK1:FM1"/>
    <mergeCell ref="GX1:GZ1"/>
    <mergeCell ref="DE1:DG1"/>
    <mergeCell ref="ED1:EH1"/>
    <mergeCell ref="DX1:DZ1"/>
    <mergeCell ref="GI1:GK1"/>
    <mergeCell ref="FV1:FX1"/>
    <mergeCell ref="GC1:GE1"/>
    <mergeCell ref="U1:W1"/>
    <mergeCell ref="C1:E1"/>
    <mergeCell ref="F1:H1"/>
    <mergeCell ref="I1:K1"/>
    <mergeCell ref="L1:N1"/>
    <mergeCell ref="O1:Q1"/>
    <mergeCell ref="R1:T1"/>
    <mergeCell ref="BE1:BG1"/>
    <mergeCell ref="BH1:BK1"/>
    <mergeCell ref="X1:Z1"/>
    <mergeCell ref="AA1:AC1"/>
    <mergeCell ref="AS1:AU1"/>
    <mergeCell ref="AV1:AY1"/>
    <mergeCell ref="AZ1:BD1"/>
    <mergeCell ref="AD1:AF1"/>
    <mergeCell ref="AG1:AI1"/>
    <mergeCell ref="AJ1:AL1"/>
    <mergeCell ref="BL1:BP1"/>
    <mergeCell ref="BQ1:BS1"/>
    <mergeCell ref="CM1:CQ1"/>
    <mergeCell ref="CH1:CJ1"/>
    <mergeCell ref="CD1:CG1"/>
    <mergeCell ref="OG1:OI1"/>
    <mergeCell ref="CK1:CL1"/>
    <mergeCell ref="BT1:BV1"/>
    <mergeCell ref="BW1:CC1"/>
    <mergeCell ref="CS1:DD1"/>
    <mergeCell ref="MV1:MX1"/>
    <mergeCell ref="DH1:DJ1"/>
    <mergeCell ref="MS1:MU1"/>
    <mergeCell ref="MN1:MP1"/>
    <mergeCell ref="MK1:MM1"/>
    <mergeCell ref="GL1:GN1"/>
    <mergeCell ref="GO1:GQ1"/>
    <mergeCell ref="GR1:GT1"/>
    <mergeCell ref="GU1:GW1"/>
    <mergeCell ref="LM1:LO1"/>
    <mergeCell ref="IQ1:IS1"/>
    <mergeCell ref="IT1:IV1"/>
    <mergeCell ref="JQ1:JS1"/>
    <mergeCell ref="JT1:JV1"/>
    <mergeCell ref="JW1:JY1"/>
    <mergeCell ref="JN1:JP1"/>
    <mergeCell ref="IY1:JA1"/>
    <mergeCell ref="JB1:JD1"/>
    <mergeCell ref="FH1:FJ1"/>
  </mergeCells>
  <phoneticPr fontId="2" type="noConversion"/>
  <conditionalFormatting sqref="OJ3:OJ41 KF3:OI4 KF8:OI8 MH5:OI7 KF21:OI41 C39:G41 MH9:OI20">
    <cfRule type="cellIs" dxfId="903" priority="165" operator="greaterThanOrEqual">
      <formula>200</formula>
    </cfRule>
  </conditionalFormatting>
  <conditionalFormatting sqref="OO38 OM38:ON43 OM24:OO37 OL3:OO23 OL24:OL51">
    <cfRule type="cellIs" dxfId="902" priority="164" operator="greaterThanOrEqual">
      <formula>200</formula>
    </cfRule>
  </conditionalFormatting>
  <conditionalFormatting sqref="C2:E37">
    <cfRule type="cellIs" dxfId="901" priority="162" operator="greaterThanOrEqual">
      <formula>200</formula>
    </cfRule>
  </conditionalFormatting>
  <conditionalFormatting sqref="F2:H37">
    <cfRule type="cellIs" dxfId="900" priority="161" operator="greaterThanOrEqual">
      <formula>200</formula>
    </cfRule>
  </conditionalFormatting>
  <conditionalFormatting sqref="I2:K37">
    <cfRule type="cellIs" dxfId="899" priority="160" operator="greaterThanOrEqual">
      <formula>200</formula>
    </cfRule>
  </conditionalFormatting>
  <conditionalFormatting sqref="L2:N37">
    <cfRule type="cellIs" dxfId="898" priority="159" operator="greaterThanOrEqual">
      <formula>200</formula>
    </cfRule>
  </conditionalFormatting>
  <conditionalFormatting sqref="O2:Q37">
    <cfRule type="cellIs" dxfId="897" priority="158" operator="greaterThanOrEqual">
      <formula>200</formula>
    </cfRule>
  </conditionalFormatting>
  <conditionalFormatting sqref="R2:T37">
    <cfRule type="cellIs" dxfId="896" priority="157" operator="greaterThanOrEqual">
      <formula>200</formula>
    </cfRule>
  </conditionalFormatting>
  <conditionalFormatting sqref="U2:W37">
    <cfRule type="cellIs" dxfId="895" priority="156" operator="greaterThanOrEqual">
      <formula>200</formula>
    </cfRule>
  </conditionalFormatting>
  <conditionalFormatting sqref="X2:Z37">
    <cfRule type="cellIs" dxfId="894" priority="155" operator="greaterThanOrEqual">
      <formula>200</formula>
    </cfRule>
  </conditionalFormatting>
  <conditionalFormatting sqref="AA2:AC37">
    <cfRule type="cellIs" dxfId="893" priority="154" operator="greaterThanOrEqual">
      <formula>200</formula>
    </cfRule>
  </conditionalFormatting>
  <conditionalFormatting sqref="AD2:AF37">
    <cfRule type="cellIs" dxfId="892" priority="153" operator="greaterThanOrEqual">
      <formula>200</formula>
    </cfRule>
  </conditionalFormatting>
  <conditionalFormatting sqref="AG2:AI37">
    <cfRule type="cellIs" dxfId="891" priority="152" operator="greaterThanOrEqual">
      <formula>200</formula>
    </cfRule>
  </conditionalFormatting>
  <conditionalFormatting sqref="AJ2:AL37">
    <cfRule type="cellIs" dxfId="890" priority="151" operator="greaterThanOrEqual">
      <formula>200</formula>
    </cfRule>
  </conditionalFormatting>
  <conditionalFormatting sqref="AM2:AP37">
    <cfRule type="cellIs" dxfId="889" priority="150" operator="greaterThanOrEqual">
      <formula>200</formula>
    </cfRule>
  </conditionalFormatting>
  <conditionalFormatting sqref="AQ2:AR37">
    <cfRule type="cellIs" dxfId="888" priority="149" operator="greaterThanOrEqual">
      <formula>200</formula>
    </cfRule>
  </conditionalFormatting>
  <conditionalFormatting sqref="AS2:AU37">
    <cfRule type="cellIs" dxfId="887" priority="148" operator="greaterThanOrEqual">
      <formula>200</formula>
    </cfRule>
  </conditionalFormatting>
  <conditionalFormatting sqref="AV2:AY37">
    <cfRule type="cellIs" dxfId="886" priority="147" operator="greaterThanOrEqual">
      <formula>200</formula>
    </cfRule>
  </conditionalFormatting>
  <conditionalFormatting sqref="AZ2:BD37">
    <cfRule type="cellIs" dxfId="885" priority="146" operator="greaterThanOrEqual">
      <formula>200</formula>
    </cfRule>
  </conditionalFormatting>
  <conditionalFormatting sqref="BE2:BG37">
    <cfRule type="cellIs" dxfId="884" priority="145" operator="greaterThanOrEqual">
      <formula>200</formula>
    </cfRule>
  </conditionalFormatting>
  <conditionalFormatting sqref="BH2:BK37">
    <cfRule type="cellIs" dxfId="883" priority="144" operator="greaterThanOrEqual">
      <formula>200</formula>
    </cfRule>
  </conditionalFormatting>
  <conditionalFormatting sqref="BL2:BP37">
    <cfRule type="cellIs" dxfId="882" priority="143" operator="greaterThanOrEqual">
      <formula>200</formula>
    </cfRule>
  </conditionalFormatting>
  <conditionalFormatting sqref="BQ2:BS37">
    <cfRule type="cellIs" dxfId="881" priority="142" operator="greaterThanOrEqual">
      <formula>200</formula>
    </cfRule>
  </conditionalFormatting>
  <conditionalFormatting sqref="BT2:BV37">
    <cfRule type="cellIs" dxfId="880" priority="141" operator="greaterThanOrEqual">
      <formula>200</formula>
    </cfRule>
  </conditionalFormatting>
  <conditionalFormatting sqref="BW2:CC37">
    <cfRule type="cellIs" dxfId="879" priority="140" operator="greaterThanOrEqual">
      <formula>200</formula>
    </cfRule>
  </conditionalFormatting>
  <conditionalFormatting sqref="CD2:CG37">
    <cfRule type="cellIs" dxfId="878" priority="139" operator="greaterThanOrEqual">
      <formula>200</formula>
    </cfRule>
  </conditionalFormatting>
  <conditionalFormatting sqref="CH2:CJ37">
    <cfRule type="cellIs" dxfId="877" priority="138" operator="greaterThanOrEqual">
      <formula>200</formula>
    </cfRule>
  </conditionalFormatting>
  <conditionalFormatting sqref="CK2:CL37">
    <cfRule type="cellIs" dxfId="876" priority="137" operator="greaterThanOrEqual">
      <formula>200</formula>
    </cfRule>
  </conditionalFormatting>
  <conditionalFormatting sqref="CM2:CR37">
    <cfRule type="cellIs" dxfId="875" priority="136" operator="greaterThanOrEqual">
      <formula>200</formula>
    </cfRule>
  </conditionalFormatting>
  <conditionalFormatting sqref="CS2:DD37">
    <cfRule type="cellIs" dxfId="874" priority="134" operator="greaterThanOrEqual">
      <formula>200</formula>
    </cfRule>
  </conditionalFormatting>
  <conditionalFormatting sqref="DE2:DG37">
    <cfRule type="cellIs" dxfId="873" priority="133" operator="greaterThanOrEqual">
      <formula>200</formula>
    </cfRule>
  </conditionalFormatting>
  <conditionalFormatting sqref="DH2:DJ37">
    <cfRule type="cellIs" dxfId="872" priority="132" operator="greaterThanOrEqual">
      <formula>200</formula>
    </cfRule>
  </conditionalFormatting>
  <conditionalFormatting sqref="DK2:DN37">
    <cfRule type="cellIs" dxfId="871" priority="131" operator="greaterThanOrEqual">
      <formula>200</formula>
    </cfRule>
  </conditionalFormatting>
  <conditionalFormatting sqref="DO2:DT37">
    <cfRule type="cellIs" dxfId="870" priority="130" operator="greaterThanOrEqual">
      <formula>200</formula>
    </cfRule>
  </conditionalFormatting>
  <conditionalFormatting sqref="DU2:DW37">
    <cfRule type="cellIs" dxfId="869" priority="129" operator="greaterThanOrEqual">
      <formula>200</formula>
    </cfRule>
  </conditionalFormatting>
  <conditionalFormatting sqref="DX2:DZ37">
    <cfRule type="cellIs" dxfId="868" priority="128" operator="greaterThanOrEqual">
      <formula>200</formula>
    </cfRule>
  </conditionalFormatting>
  <conditionalFormatting sqref="EA2:EC37">
    <cfRule type="cellIs" dxfId="867" priority="127" operator="greaterThanOrEqual">
      <formula>200</formula>
    </cfRule>
  </conditionalFormatting>
  <conditionalFormatting sqref="ED2:EH37">
    <cfRule type="cellIs" dxfId="866" priority="126" operator="greaterThanOrEqual">
      <formula>200</formula>
    </cfRule>
  </conditionalFormatting>
  <conditionalFormatting sqref="EI2:EL37">
    <cfRule type="cellIs" dxfId="865" priority="125" operator="greaterThanOrEqual">
      <formula>200</formula>
    </cfRule>
  </conditionalFormatting>
  <conditionalFormatting sqref="EM2:EN37">
    <cfRule type="cellIs" dxfId="864" priority="124" operator="greaterThanOrEqual">
      <formula>200</formula>
    </cfRule>
  </conditionalFormatting>
  <conditionalFormatting sqref="EO2:ER37">
    <cfRule type="cellIs" dxfId="863" priority="123" operator="greaterThanOrEqual">
      <formula>200</formula>
    </cfRule>
  </conditionalFormatting>
  <conditionalFormatting sqref="ES2:FA37">
    <cfRule type="cellIs" dxfId="862" priority="122" operator="greaterThanOrEqual">
      <formula>200</formula>
    </cfRule>
  </conditionalFormatting>
  <conditionalFormatting sqref="FB2:FD37">
    <cfRule type="cellIs" dxfId="861" priority="121" operator="greaterThanOrEqual">
      <formula>200</formula>
    </cfRule>
  </conditionalFormatting>
  <conditionalFormatting sqref="FE2:FG37">
    <cfRule type="cellIs" dxfId="860" priority="120" operator="greaterThanOrEqual">
      <formula>200</formula>
    </cfRule>
  </conditionalFormatting>
  <conditionalFormatting sqref="FH2:FJ37">
    <cfRule type="cellIs" dxfId="859" priority="119" operator="greaterThanOrEqual">
      <formula>200</formula>
    </cfRule>
  </conditionalFormatting>
  <conditionalFormatting sqref="FK2:FM37">
    <cfRule type="cellIs" dxfId="858" priority="118" operator="greaterThanOrEqual">
      <formula>200</formula>
    </cfRule>
  </conditionalFormatting>
  <conditionalFormatting sqref="FN2:FP37">
    <cfRule type="cellIs" dxfId="857" priority="117" operator="greaterThanOrEqual">
      <formula>200</formula>
    </cfRule>
  </conditionalFormatting>
  <conditionalFormatting sqref="FQ2:FR37">
    <cfRule type="cellIs" dxfId="856" priority="116" operator="greaterThanOrEqual">
      <formula>200</formula>
    </cfRule>
  </conditionalFormatting>
  <conditionalFormatting sqref="FS2:FU37">
    <cfRule type="cellIs" dxfId="855" priority="115" operator="greaterThanOrEqual">
      <formula>200</formula>
    </cfRule>
  </conditionalFormatting>
  <conditionalFormatting sqref="FV2:FX37">
    <cfRule type="cellIs" dxfId="854" priority="114" operator="greaterThanOrEqual">
      <formula>200</formula>
    </cfRule>
  </conditionalFormatting>
  <conditionalFormatting sqref="GC2:GE37">
    <cfRule type="cellIs" dxfId="853" priority="112" operator="greaterThanOrEqual">
      <formula>200</formula>
    </cfRule>
  </conditionalFormatting>
  <conditionalFormatting sqref="GF2:GH37">
    <cfRule type="cellIs" dxfId="852" priority="110" operator="greaterThanOrEqual">
      <formula>200</formula>
    </cfRule>
  </conditionalFormatting>
  <conditionalFormatting sqref="FY2:GB37">
    <cfRule type="cellIs" dxfId="851" priority="111" operator="greaterThanOrEqual">
      <formula>200</formula>
    </cfRule>
  </conditionalFormatting>
  <conditionalFormatting sqref="GI2:GK37">
    <cfRule type="cellIs" dxfId="850" priority="108" operator="greaterThanOrEqual">
      <formula>200</formula>
    </cfRule>
  </conditionalFormatting>
  <conditionalFormatting sqref="GI3:GK41">
    <cfRule type="cellIs" dxfId="849" priority="109" operator="greaterThanOrEqual">
      <formula>200</formula>
    </cfRule>
  </conditionalFormatting>
  <conditionalFormatting sqref="GL2:GN37">
    <cfRule type="cellIs" dxfId="848" priority="106" operator="greaterThanOrEqual">
      <formula>200</formula>
    </cfRule>
  </conditionalFormatting>
  <conditionalFormatting sqref="GL3:GN41">
    <cfRule type="cellIs" dxfId="847" priority="107" operator="greaterThanOrEqual">
      <formula>200</formula>
    </cfRule>
  </conditionalFormatting>
  <conditionalFormatting sqref="GO2:GQ37">
    <cfRule type="cellIs" dxfId="846" priority="104" operator="greaterThanOrEqual">
      <formula>200</formula>
    </cfRule>
  </conditionalFormatting>
  <conditionalFormatting sqref="GO3:GQ41">
    <cfRule type="cellIs" dxfId="845" priority="105" operator="greaterThanOrEqual">
      <formula>200</formula>
    </cfRule>
  </conditionalFormatting>
  <conditionalFormatting sqref="GR2:GT37">
    <cfRule type="cellIs" dxfId="844" priority="102" operator="greaterThanOrEqual">
      <formula>200</formula>
    </cfRule>
  </conditionalFormatting>
  <conditionalFormatting sqref="GR3:GT41">
    <cfRule type="cellIs" dxfId="843" priority="103" operator="greaterThanOrEqual">
      <formula>200</formula>
    </cfRule>
  </conditionalFormatting>
  <conditionalFormatting sqref="GU2:GW37">
    <cfRule type="cellIs" dxfId="842" priority="100" operator="greaterThanOrEqual">
      <formula>200</formula>
    </cfRule>
  </conditionalFormatting>
  <conditionalFormatting sqref="GU3:GW41">
    <cfRule type="cellIs" dxfId="841" priority="101" operator="greaterThanOrEqual">
      <formula>200</formula>
    </cfRule>
  </conditionalFormatting>
  <conditionalFormatting sqref="GX2:GZ37">
    <cfRule type="cellIs" dxfId="840" priority="98" operator="greaterThanOrEqual">
      <formula>200</formula>
    </cfRule>
  </conditionalFormatting>
  <conditionalFormatting sqref="GX3:GZ41">
    <cfRule type="cellIs" dxfId="839" priority="99" operator="greaterThanOrEqual">
      <formula>200</formula>
    </cfRule>
  </conditionalFormatting>
  <conditionalFormatting sqref="HA2:HC37">
    <cfRule type="cellIs" dxfId="838" priority="96" operator="greaterThanOrEqual">
      <formula>200</formula>
    </cfRule>
  </conditionalFormatting>
  <conditionalFormatting sqref="HA3:HC41">
    <cfRule type="cellIs" dxfId="837" priority="97" operator="greaterThanOrEqual">
      <formula>200</formula>
    </cfRule>
  </conditionalFormatting>
  <conditionalFormatting sqref="HD2:HF37">
    <cfRule type="cellIs" dxfId="836" priority="94" operator="greaterThanOrEqual">
      <formula>200</formula>
    </cfRule>
  </conditionalFormatting>
  <conditionalFormatting sqref="HD3:HF41">
    <cfRule type="cellIs" dxfId="835" priority="95" operator="greaterThanOrEqual">
      <formula>200</formula>
    </cfRule>
  </conditionalFormatting>
  <conditionalFormatting sqref="HG2:HI37">
    <cfRule type="cellIs" dxfId="834" priority="92" operator="greaterThanOrEqual">
      <formula>200</formula>
    </cfRule>
  </conditionalFormatting>
  <conditionalFormatting sqref="HG3:HI41">
    <cfRule type="cellIs" dxfId="833" priority="93" operator="greaterThanOrEqual">
      <formula>200</formula>
    </cfRule>
  </conditionalFormatting>
  <conditionalFormatting sqref="HJ2:HL37">
    <cfRule type="cellIs" dxfId="832" priority="90" operator="greaterThanOrEqual">
      <formula>200</formula>
    </cfRule>
  </conditionalFormatting>
  <conditionalFormatting sqref="HJ3:HL41">
    <cfRule type="cellIs" dxfId="831" priority="91" operator="greaterThanOrEqual">
      <formula>200</formula>
    </cfRule>
  </conditionalFormatting>
  <conditionalFormatting sqref="HM2:HO37">
    <cfRule type="cellIs" dxfId="830" priority="88" operator="greaterThanOrEqual">
      <formula>200</formula>
    </cfRule>
  </conditionalFormatting>
  <conditionalFormatting sqref="HM3:HO41">
    <cfRule type="cellIs" dxfId="829" priority="89" operator="greaterThanOrEqual">
      <formula>200</formula>
    </cfRule>
  </conditionalFormatting>
  <conditionalFormatting sqref="HP2:HR37">
    <cfRule type="cellIs" dxfId="828" priority="86" operator="greaterThanOrEqual">
      <formula>200</formula>
    </cfRule>
  </conditionalFormatting>
  <conditionalFormatting sqref="HP3:HR41">
    <cfRule type="cellIs" dxfId="827" priority="87" operator="greaterThanOrEqual">
      <formula>200</formula>
    </cfRule>
  </conditionalFormatting>
  <conditionalFormatting sqref="HS2:HU37">
    <cfRule type="cellIs" dxfId="826" priority="84" operator="greaterThanOrEqual">
      <formula>200</formula>
    </cfRule>
  </conditionalFormatting>
  <conditionalFormatting sqref="HS3:HU41">
    <cfRule type="cellIs" dxfId="825" priority="85" operator="greaterThanOrEqual">
      <formula>200</formula>
    </cfRule>
  </conditionalFormatting>
  <conditionalFormatting sqref="HV2:HX37">
    <cfRule type="cellIs" dxfId="824" priority="82" operator="greaterThanOrEqual">
      <formula>200</formula>
    </cfRule>
  </conditionalFormatting>
  <conditionalFormatting sqref="HV3:HX41">
    <cfRule type="cellIs" dxfId="823" priority="83" operator="greaterThanOrEqual">
      <formula>200</formula>
    </cfRule>
  </conditionalFormatting>
  <conditionalFormatting sqref="HY2:IA37">
    <cfRule type="cellIs" dxfId="822" priority="80" operator="greaterThanOrEqual">
      <formula>200</formula>
    </cfRule>
  </conditionalFormatting>
  <conditionalFormatting sqref="HY3:IA41">
    <cfRule type="cellIs" dxfId="821" priority="81" operator="greaterThanOrEqual">
      <formula>200</formula>
    </cfRule>
  </conditionalFormatting>
  <conditionalFormatting sqref="IB2:ID37">
    <cfRule type="cellIs" dxfId="820" priority="78" operator="greaterThanOrEqual">
      <formula>200</formula>
    </cfRule>
  </conditionalFormatting>
  <conditionalFormatting sqref="IB3:ID41">
    <cfRule type="cellIs" dxfId="819" priority="79" operator="greaterThanOrEqual">
      <formula>200</formula>
    </cfRule>
  </conditionalFormatting>
  <conditionalFormatting sqref="IE2:IG37">
    <cfRule type="cellIs" dxfId="818" priority="76" operator="greaterThanOrEqual">
      <formula>200</formula>
    </cfRule>
  </conditionalFormatting>
  <conditionalFormatting sqref="IE3:IG41">
    <cfRule type="cellIs" dxfId="817" priority="77" operator="greaterThanOrEqual">
      <formula>200</formula>
    </cfRule>
  </conditionalFormatting>
  <conditionalFormatting sqref="IH2:IJ37">
    <cfRule type="cellIs" dxfId="816" priority="74" operator="greaterThanOrEqual">
      <formula>200</formula>
    </cfRule>
  </conditionalFormatting>
  <conditionalFormatting sqref="IH3:IJ41">
    <cfRule type="cellIs" dxfId="815" priority="75" operator="greaterThanOrEqual">
      <formula>200</formula>
    </cfRule>
  </conditionalFormatting>
  <conditionalFormatting sqref="IK2:IM37">
    <cfRule type="cellIs" dxfId="814" priority="72" operator="greaterThanOrEqual">
      <formula>200</formula>
    </cfRule>
  </conditionalFormatting>
  <conditionalFormatting sqref="IK3:IM41">
    <cfRule type="cellIs" dxfId="813" priority="73" operator="greaterThanOrEqual">
      <formula>200</formula>
    </cfRule>
  </conditionalFormatting>
  <conditionalFormatting sqref="IN2:IP37">
    <cfRule type="cellIs" dxfId="812" priority="70" operator="greaterThanOrEqual">
      <formula>200</formula>
    </cfRule>
  </conditionalFormatting>
  <conditionalFormatting sqref="IN3:IP41">
    <cfRule type="cellIs" dxfId="811" priority="71" operator="greaterThanOrEqual">
      <formula>200</formula>
    </cfRule>
  </conditionalFormatting>
  <conditionalFormatting sqref="IQ2:IS37">
    <cfRule type="cellIs" dxfId="810" priority="68" operator="greaterThanOrEqual">
      <formula>200</formula>
    </cfRule>
  </conditionalFormatting>
  <conditionalFormatting sqref="IQ3:IS41">
    <cfRule type="cellIs" dxfId="809" priority="69" operator="greaterThanOrEqual">
      <formula>200</formula>
    </cfRule>
  </conditionalFormatting>
  <conditionalFormatting sqref="IT2:IW37">
    <cfRule type="cellIs" dxfId="808" priority="66" operator="greaterThanOrEqual">
      <formula>200</formula>
    </cfRule>
  </conditionalFormatting>
  <conditionalFormatting sqref="IT3:IW41">
    <cfRule type="cellIs" dxfId="807" priority="67" operator="greaterThanOrEqual">
      <formula>200</formula>
    </cfRule>
  </conditionalFormatting>
  <conditionalFormatting sqref="IX2:IX37">
    <cfRule type="cellIs" dxfId="806" priority="64" operator="greaterThanOrEqual">
      <formula>200</formula>
    </cfRule>
  </conditionalFormatting>
  <conditionalFormatting sqref="IX3:IX41">
    <cfRule type="cellIs" dxfId="805" priority="65" operator="greaterThanOrEqual">
      <formula>200</formula>
    </cfRule>
  </conditionalFormatting>
  <conditionalFormatting sqref="IY2:JA37">
    <cfRule type="cellIs" dxfId="804" priority="62" operator="greaterThanOrEqual">
      <formula>200</formula>
    </cfRule>
  </conditionalFormatting>
  <conditionalFormatting sqref="IY3:JA41">
    <cfRule type="cellIs" dxfId="803" priority="63" operator="greaterThanOrEqual">
      <formula>200</formula>
    </cfRule>
  </conditionalFormatting>
  <conditionalFormatting sqref="JB3:JD41">
    <cfRule type="cellIs" dxfId="802" priority="61" operator="greaterThanOrEqual">
      <formula>200</formula>
    </cfRule>
  </conditionalFormatting>
  <conditionalFormatting sqref="JE3:JG41">
    <cfRule type="cellIs" dxfId="801" priority="60" operator="greaterThanOrEqual">
      <formula>200</formula>
    </cfRule>
  </conditionalFormatting>
  <conditionalFormatting sqref="JH3:JJ41">
    <cfRule type="cellIs" dxfId="800" priority="59" operator="greaterThanOrEqual">
      <formula>200</formula>
    </cfRule>
  </conditionalFormatting>
  <conditionalFormatting sqref="JK3:JM41">
    <cfRule type="cellIs" dxfId="799" priority="58" operator="greaterThanOrEqual">
      <formula>200</formula>
    </cfRule>
  </conditionalFormatting>
  <conditionalFormatting sqref="JN3:JP41">
    <cfRule type="cellIs" dxfId="798" priority="57" operator="greaterThanOrEqual">
      <formula>200</formula>
    </cfRule>
  </conditionalFormatting>
  <conditionalFormatting sqref="JQ3:JS41">
    <cfRule type="cellIs" dxfId="797" priority="56" operator="greaterThanOrEqual">
      <formula>200</formula>
    </cfRule>
  </conditionalFormatting>
  <conditionalFormatting sqref="JT3:JV41">
    <cfRule type="cellIs" dxfId="796" priority="55" operator="greaterThanOrEqual">
      <formula>200</formula>
    </cfRule>
  </conditionalFormatting>
  <conditionalFormatting sqref="JW3:JY41">
    <cfRule type="cellIs" dxfId="795" priority="54" operator="greaterThanOrEqual">
      <formula>200</formula>
    </cfRule>
  </conditionalFormatting>
  <conditionalFormatting sqref="JZ3:KB41">
    <cfRule type="cellIs" dxfId="794" priority="53" operator="greaterThanOrEqual">
      <formula>200</formula>
    </cfRule>
  </conditionalFormatting>
  <conditionalFormatting sqref="KC3:KE41">
    <cfRule type="cellIs" dxfId="793" priority="52" operator="greaterThanOrEqual">
      <formula>200</formula>
    </cfRule>
  </conditionalFormatting>
  <conditionalFormatting sqref="KF5:MD6 KF13:MG13 KF12:MD12 KF14:MD15 KF7:MG7 KF16:MG20 KF9:MG11">
    <cfRule type="cellIs" dxfId="792" priority="51" operator="greaterThanOrEqual">
      <formula>200</formula>
    </cfRule>
  </conditionalFormatting>
  <conditionalFormatting sqref="H39">
    <cfRule type="cellIs" dxfId="791" priority="44" operator="greaterThanOrEqual">
      <formula>200</formula>
    </cfRule>
  </conditionalFormatting>
  <conditionalFormatting sqref="J39:L39">
    <cfRule type="cellIs" dxfId="790" priority="43" operator="greaterThanOrEqual">
      <formula>200</formula>
    </cfRule>
  </conditionalFormatting>
  <conditionalFormatting sqref="H40:H41">
    <cfRule type="cellIs" dxfId="789" priority="41" operator="greaterThanOrEqual">
      <formula>200</formula>
    </cfRule>
  </conditionalFormatting>
  <conditionalFormatting sqref="J40:L41">
    <cfRule type="cellIs" dxfId="788" priority="40" operator="greaterThanOrEqual">
      <formula>200</formula>
    </cfRule>
  </conditionalFormatting>
  <conditionalFormatting sqref="ME6:MG6">
    <cfRule type="cellIs" dxfId="787" priority="38" operator="greaterThanOrEqual">
      <formula>200</formula>
    </cfRule>
  </conditionalFormatting>
  <conditionalFormatting sqref="ME5:MG5">
    <cfRule type="cellIs" dxfId="786" priority="37" operator="greaterThanOrEqual">
      <formula>200</formula>
    </cfRule>
  </conditionalFormatting>
  <conditionalFormatting sqref="ME12:MG12">
    <cfRule type="cellIs" dxfId="785" priority="36" operator="greaterThanOrEqual">
      <formula>200</formula>
    </cfRule>
  </conditionalFormatting>
  <conditionalFormatting sqref="ME15:MG15">
    <cfRule type="cellIs" dxfId="784" priority="33" operator="greaterThanOrEqual">
      <formula>200</formula>
    </cfRule>
  </conditionalFormatting>
  <conditionalFormatting sqref="ME14:MG14">
    <cfRule type="cellIs" dxfId="783" priority="34" operator="greaterThanOrEqual">
      <formula>200</formula>
    </cfRule>
  </conditionalFormatting>
  <conditionalFormatting sqref="OS9:OU9 OS12:OU15">
    <cfRule type="cellIs" dxfId="782" priority="32" operator="greaterThanOrEqual">
      <formula>200</formula>
    </cfRule>
  </conditionalFormatting>
  <conditionalFormatting sqref="OS11:OU11">
    <cfRule type="cellIs" dxfId="781" priority="31" operator="greaterThanOrEqual">
      <formula>200</formula>
    </cfRule>
  </conditionalFormatting>
  <conditionalFormatting sqref="OS10:OU10">
    <cfRule type="cellIs" dxfId="780" priority="30" operator="greaterThanOrEqual">
      <formula>200</formula>
    </cfRule>
  </conditionalFormatting>
  <conditionalFormatting sqref="OS16:OU16">
    <cfRule type="cellIs" dxfId="779" priority="29" operator="greaterThanOrEqual">
      <formula>200</formula>
    </cfRule>
  </conditionalFormatting>
  <conditionalFormatting sqref="NB42:OJ42">
    <cfRule type="cellIs" dxfId="778" priority="18" operator="greaterThanOrEqual">
      <formula>200</formula>
    </cfRule>
  </conditionalFormatting>
  <conditionalFormatting sqref="NB43:OJ43">
    <cfRule type="cellIs" dxfId="777" priority="17" operator="greaterThanOrEqual">
      <formula>200</formula>
    </cfRule>
  </conditionalFormatting>
  <conditionalFormatting sqref="OK52:OM60">
    <cfRule type="cellIs" dxfId="776" priority="16" operator="greaterThanOrEqual">
      <formula>200</formula>
    </cfRule>
  </conditionalFormatting>
  <conditionalFormatting sqref="OO52:OR60">
    <cfRule type="cellIs" dxfId="775" priority="15" operator="greaterThanOrEqual">
      <formula>200</formula>
    </cfRule>
  </conditionalFormatting>
  <conditionalFormatting sqref="NU48">
    <cfRule type="cellIs" dxfId="774" priority="14" operator="greaterThanOrEqual">
      <formula>200</formula>
    </cfRule>
  </conditionalFormatting>
  <conditionalFormatting sqref="NV48">
    <cfRule type="cellIs" dxfId="773" priority="13" operator="greaterThanOrEqual">
      <formula>200</formula>
    </cfRule>
  </conditionalFormatting>
  <conditionalFormatting sqref="NW48:OI48">
    <cfRule type="cellIs" dxfId="772" priority="12" operator="greaterThanOrEqual">
      <formula>200</formula>
    </cfRule>
  </conditionalFormatting>
  <conditionalFormatting sqref="NU49">
    <cfRule type="cellIs" dxfId="771" priority="11" operator="greaterThanOrEqual">
      <formula>200</formula>
    </cfRule>
  </conditionalFormatting>
  <conditionalFormatting sqref="NV49">
    <cfRule type="cellIs" dxfId="770" priority="10" operator="greaterThanOrEqual">
      <formula>200</formula>
    </cfRule>
  </conditionalFormatting>
  <conditionalFormatting sqref="NW49:OI49">
    <cfRule type="cellIs" dxfId="769" priority="9" operator="greaterThanOrEqual">
      <formula>200</formula>
    </cfRule>
  </conditionalFormatting>
  <conditionalFormatting sqref="NU50">
    <cfRule type="cellIs" dxfId="768" priority="8" operator="greaterThanOrEqual">
      <formula>200</formula>
    </cfRule>
  </conditionalFormatting>
  <conditionalFormatting sqref="NV50">
    <cfRule type="cellIs" dxfId="767" priority="7" operator="greaterThanOrEqual">
      <formula>200</formula>
    </cfRule>
  </conditionalFormatting>
  <conditionalFormatting sqref="NW50:OI50">
    <cfRule type="cellIs" dxfId="766" priority="6" operator="greaterThanOrEqual">
      <formula>200</formula>
    </cfRule>
  </conditionalFormatting>
  <conditionalFormatting sqref="NX51">
    <cfRule type="cellIs" dxfId="765" priority="5" operator="greaterThanOrEqual">
      <formula>200</formula>
    </cfRule>
  </conditionalFormatting>
  <conditionalFormatting sqref="NY51">
    <cfRule type="cellIs" dxfId="764" priority="4" operator="greaterThanOrEqual">
      <formula>200</formula>
    </cfRule>
  </conditionalFormatting>
  <conditionalFormatting sqref="NZ51:OI51">
    <cfRule type="cellIs" dxfId="763" priority="3" operator="greaterThanOrEqual">
      <formula>200</formula>
    </cfRule>
  </conditionalFormatting>
  <conditionalFormatting sqref="NY58:OA66">
    <cfRule type="cellIs" dxfId="762" priority="2" operator="greaterThanOrEqual">
      <formula>200</formula>
    </cfRule>
  </conditionalFormatting>
  <conditionalFormatting sqref="OC58:OI66">
    <cfRule type="cellIs" dxfId="761" priority="1" operator="greaterThanOrEqual">
      <formula>200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0.59999389629810485"/>
  </sheetPr>
  <dimension ref="A1:KG38"/>
  <sheetViews>
    <sheetView zoomScale="75" zoomScaleNormal="75" workbookViewId="0">
      <selection activeCell="K60" sqref="K60"/>
    </sheetView>
  </sheetViews>
  <sheetFormatPr defaultColWidth="9" defaultRowHeight="16.5" outlineLevelCol="2"/>
  <cols>
    <col min="1" max="1" width="9.875" style="12" bestFit="1" customWidth="1"/>
    <col min="2" max="8" width="9.875" style="12" customWidth="1"/>
    <col min="9" max="17" width="9.875" style="12" customWidth="1" outlineLevel="2"/>
    <col min="18" max="32" width="10" style="12" customWidth="1" outlineLevel="2"/>
    <col min="33" max="33" width="10" style="12" customWidth="1" outlineLevel="1"/>
    <col min="34" max="193" width="10" style="12" customWidth="1" outlineLevel="2"/>
    <col min="194" max="194" width="10" style="12" customWidth="1" outlineLevel="1"/>
    <col min="195" max="195" width="10" style="12" customWidth="1" outlineLevel="2" collapsed="1"/>
    <col min="196" max="278" width="10" style="12" customWidth="1" outlineLevel="2"/>
    <col min="279" max="287" width="10" style="6" customWidth="1" outlineLevel="2"/>
    <col min="288" max="288" width="10" style="6" customWidth="1" outlineLevel="1"/>
    <col min="289" max="289" width="10" style="37" customWidth="1"/>
    <col min="290" max="290" width="13.5" style="7" bestFit="1" customWidth="1"/>
    <col min="291" max="291" width="13.125" style="7" bestFit="1" customWidth="1"/>
    <col min="292" max="292" width="12.5" style="7" bestFit="1" customWidth="1"/>
    <col min="293" max="293" width="10.75" style="7" bestFit="1" customWidth="1"/>
    <col min="294" max="16384" width="9" style="6"/>
  </cols>
  <sheetData>
    <row r="1" spans="1:293">
      <c r="A1" s="1"/>
      <c r="B1" s="2"/>
      <c r="C1" s="499">
        <v>45384</v>
      </c>
      <c r="D1" s="500"/>
      <c r="E1" s="501"/>
      <c r="F1" s="499">
        <v>45383</v>
      </c>
      <c r="G1" s="504"/>
      <c r="H1" s="504"/>
      <c r="I1" s="499">
        <v>45355</v>
      </c>
      <c r="J1" s="504"/>
      <c r="K1" s="504"/>
      <c r="L1" s="499">
        <v>45353</v>
      </c>
      <c r="M1" s="504"/>
      <c r="N1" s="504"/>
      <c r="O1" s="499">
        <v>45352</v>
      </c>
      <c r="P1" s="504"/>
      <c r="Q1" s="504"/>
      <c r="R1" s="499">
        <v>45325</v>
      </c>
      <c r="S1" s="504"/>
      <c r="T1" s="504"/>
      <c r="U1" s="499">
        <v>45325</v>
      </c>
      <c r="V1" s="504"/>
      <c r="W1" s="503"/>
      <c r="X1" s="499">
        <v>45323</v>
      </c>
      <c r="Y1" s="504"/>
      <c r="Z1" s="503"/>
      <c r="AA1" s="499">
        <v>45295</v>
      </c>
      <c r="AB1" s="504"/>
      <c r="AC1" s="503"/>
      <c r="AD1" s="499">
        <v>45293</v>
      </c>
      <c r="AE1" s="504"/>
      <c r="AF1" s="503"/>
      <c r="AG1" s="2">
        <v>2024</v>
      </c>
      <c r="AH1" s="499">
        <v>45262</v>
      </c>
      <c r="AI1" s="504"/>
      <c r="AJ1" s="503"/>
      <c r="AK1" s="499">
        <v>45261</v>
      </c>
      <c r="AL1" s="504"/>
      <c r="AM1" s="503"/>
      <c r="AN1" s="499">
        <v>45234</v>
      </c>
      <c r="AO1" s="504"/>
      <c r="AP1" s="503"/>
      <c r="AQ1" s="499">
        <v>45233</v>
      </c>
      <c r="AR1" s="504"/>
      <c r="AS1" s="503"/>
      <c r="AT1" s="499">
        <v>45232</v>
      </c>
      <c r="AU1" s="504"/>
      <c r="AV1" s="503"/>
      <c r="AW1" s="499">
        <v>45231</v>
      </c>
      <c r="AX1" s="504"/>
      <c r="AY1" s="503"/>
      <c r="AZ1" s="499">
        <v>45203</v>
      </c>
      <c r="BA1" s="504"/>
      <c r="BB1" s="503"/>
      <c r="BC1" s="499">
        <v>45202</v>
      </c>
      <c r="BD1" s="504"/>
      <c r="BE1" s="503"/>
      <c r="BF1" s="499">
        <v>45201</v>
      </c>
      <c r="BG1" s="504"/>
      <c r="BH1" s="503"/>
      <c r="BI1" s="499">
        <v>45200</v>
      </c>
      <c r="BJ1" s="504"/>
      <c r="BK1" s="503"/>
      <c r="BL1" s="499">
        <v>45173</v>
      </c>
      <c r="BM1" s="504"/>
      <c r="BN1" s="503"/>
      <c r="BO1" s="499">
        <v>45172</v>
      </c>
      <c r="BP1" s="504"/>
      <c r="BQ1" s="503"/>
      <c r="BR1" s="499">
        <v>45171</v>
      </c>
      <c r="BS1" s="504"/>
      <c r="BT1" s="503"/>
      <c r="BU1" s="499">
        <v>45170</v>
      </c>
      <c r="BV1" s="504"/>
      <c r="BW1" s="503"/>
      <c r="BX1" s="499">
        <v>45142</v>
      </c>
      <c r="BY1" s="504"/>
      <c r="BZ1" s="503"/>
      <c r="CA1" s="499">
        <v>45141</v>
      </c>
      <c r="CB1" s="504"/>
      <c r="CC1" s="503"/>
      <c r="CD1" s="499">
        <v>45140</v>
      </c>
      <c r="CE1" s="504"/>
      <c r="CF1" s="503"/>
      <c r="CG1" s="499">
        <v>45139</v>
      </c>
      <c r="CH1" s="504"/>
      <c r="CI1" s="503"/>
      <c r="CJ1" s="505">
        <v>45111</v>
      </c>
      <c r="CK1" s="506"/>
      <c r="CL1" s="507"/>
      <c r="CM1" s="505">
        <v>45110</v>
      </c>
      <c r="CN1" s="506"/>
      <c r="CO1" s="507"/>
      <c r="CP1" s="505">
        <v>45109</v>
      </c>
      <c r="CQ1" s="506"/>
      <c r="CR1" s="507"/>
      <c r="CS1" s="505">
        <v>45108</v>
      </c>
      <c r="CT1" s="506"/>
      <c r="CU1" s="507"/>
      <c r="CV1" s="505">
        <v>45081</v>
      </c>
      <c r="CW1" s="506"/>
      <c r="CX1" s="507"/>
      <c r="CY1" s="499">
        <v>45080</v>
      </c>
      <c r="CZ1" s="504"/>
      <c r="DA1" s="503"/>
      <c r="DB1" s="499">
        <v>45079</v>
      </c>
      <c r="DC1" s="504"/>
      <c r="DD1" s="504"/>
      <c r="DE1" s="503"/>
      <c r="DF1" s="499">
        <v>45078</v>
      </c>
      <c r="DG1" s="504"/>
      <c r="DH1" s="503"/>
      <c r="DI1" s="499">
        <v>45050</v>
      </c>
      <c r="DJ1" s="504"/>
      <c r="DK1" s="503"/>
      <c r="DL1" s="499">
        <v>45049</v>
      </c>
      <c r="DM1" s="503"/>
      <c r="DN1" s="499">
        <v>45048</v>
      </c>
      <c r="DO1" s="504"/>
      <c r="DP1" s="503"/>
      <c r="DQ1" s="499">
        <v>45047</v>
      </c>
      <c r="DR1" s="504"/>
      <c r="DS1" s="503"/>
      <c r="DT1" s="499">
        <v>45020</v>
      </c>
      <c r="DU1" s="504"/>
      <c r="DV1" s="503"/>
      <c r="DW1" s="499">
        <v>45019</v>
      </c>
      <c r="DX1" s="504"/>
      <c r="DY1" s="503"/>
      <c r="DZ1" s="499">
        <v>45018</v>
      </c>
      <c r="EA1" s="504"/>
      <c r="EB1" s="503"/>
      <c r="EC1" s="499">
        <v>45017</v>
      </c>
      <c r="ED1" s="504"/>
      <c r="EE1" s="504"/>
      <c r="EF1" s="504"/>
      <c r="EG1" s="504"/>
      <c r="EH1" s="504"/>
      <c r="EI1" s="504"/>
      <c r="EJ1" s="504"/>
      <c r="EK1" s="503"/>
      <c r="EL1" s="499">
        <v>44989</v>
      </c>
      <c r="EM1" s="504"/>
      <c r="EN1" s="504"/>
      <c r="EO1" s="503"/>
      <c r="EP1" s="499">
        <v>44988</v>
      </c>
      <c r="EQ1" s="503"/>
      <c r="ER1" s="499">
        <v>44987</v>
      </c>
      <c r="ES1" s="504"/>
      <c r="ET1" s="504"/>
      <c r="EU1" s="503"/>
      <c r="EV1" s="499">
        <v>44986</v>
      </c>
      <c r="EW1" s="504"/>
      <c r="EX1" s="504"/>
      <c r="EY1" s="504"/>
      <c r="EZ1" s="503"/>
      <c r="FA1" s="499">
        <v>44961</v>
      </c>
      <c r="FB1" s="504"/>
      <c r="FC1" s="503"/>
      <c r="FD1" s="499" t="s">
        <v>0</v>
      </c>
      <c r="FE1" s="504"/>
      <c r="FF1" s="503"/>
      <c r="FG1" s="499">
        <v>44959</v>
      </c>
      <c r="FH1" s="504"/>
      <c r="FI1" s="503"/>
      <c r="FJ1" s="499">
        <v>44958</v>
      </c>
      <c r="FK1" s="510"/>
      <c r="FL1" s="510"/>
      <c r="FM1" s="510"/>
      <c r="FN1" s="510"/>
      <c r="FO1" s="511"/>
      <c r="FP1" s="499">
        <v>44930</v>
      </c>
      <c r="FQ1" s="504"/>
      <c r="FR1" s="504"/>
      <c r="FS1" s="503"/>
      <c r="FT1" s="502" t="s">
        <v>1</v>
      </c>
      <c r="FU1" s="504"/>
      <c r="FV1" s="503"/>
      <c r="FW1" s="499">
        <v>44928</v>
      </c>
      <c r="FX1" s="504"/>
      <c r="FY1" s="503"/>
      <c r="FZ1" s="499">
        <v>44927</v>
      </c>
      <c r="GA1" s="504"/>
      <c r="GB1" s="504"/>
      <c r="GC1" s="504"/>
      <c r="GD1" s="504"/>
      <c r="GE1" s="504"/>
      <c r="GF1" s="504"/>
      <c r="GG1" s="504"/>
      <c r="GH1" s="504"/>
      <c r="GI1" s="504"/>
      <c r="GJ1" s="504"/>
      <c r="GK1" s="503"/>
      <c r="GL1" s="3">
        <v>2023</v>
      </c>
      <c r="GM1" s="499">
        <v>44899</v>
      </c>
      <c r="GN1" s="510"/>
      <c r="GO1" s="510"/>
      <c r="GP1" s="504"/>
      <c r="GQ1" s="503"/>
      <c r="GR1" s="502" t="s">
        <v>2</v>
      </c>
      <c r="GS1" s="503"/>
      <c r="GT1" s="499">
        <v>44897</v>
      </c>
      <c r="GU1" s="504"/>
      <c r="GV1" s="503"/>
      <c r="GW1" s="499">
        <v>44896</v>
      </c>
      <c r="GX1" s="504"/>
      <c r="GY1" s="504"/>
      <c r="GZ1" s="503"/>
      <c r="HA1" s="499">
        <v>44869</v>
      </c>
      <c r="HB1" s="504"/>
      <c r="HC1" s="504"/>
      <c r="HD1" s="504"/>
      <c r="HE1" s="504"/>
      <c r="HF1" s="504"/>
      <c r="HG1" s="503"/>
      <c r="HH1" s="499">
        <v>44868</v>
      </c>
      <c r="HI1" s="504"/>
      <c r="HJ1" s="503"/>
      <c r="HK1" s="499">
        <v>44867</v>
      </c>
      <c r="HL1" s="504"/>
      <c r="HM1" s="503"/>
      <c r="HN1" s="499">
        <v>44866</v>
      </c>
      <c r="HO1" s="504"/>
      <c r="HP1" s="504"/>
      <c r="HQ1" s="504"/>
      <c r="HR1" s="503"/>
      <c r="HS1" s="499">
        <v>44838</v>
      </c>
      <c r="HT1" s="504"/>
      <c r="HU1" s="504"/>
      <c r="HV1" s="503"/>
      <c r="HW1" s="499">
        <v>44837</v>
      </c>
      <c r="HX1" s="504"/>
      <c r="HY1" s="503"/>
      <c r="HZ1" s="499">
        <v>44836</v>
      </c>
      <c r="IA1" s="504"/>
      <c r="IB1" s="504"/>
      <c r="IC1" s="504"/>
      <c r="ID1" s="503"/>
      <c r="IE1" s="499">
        <v>44835</v>
      </c>
      <c r="IF1" s="504"/>
      <c r="IG1" s="504"/>
      <c r="IH1" s="503"/>
      <c r="II1" s="499">
        <v>44808</v>
      </c>
      <c r="IJ1" s="504"/>
      <c r="IK1" s="503"/>
      <c r="IL1" s="499">
        <v>44807</v>
      </c>
      <c r="IM1" s="503"/>
      <c r="IN1" s="508">
        <v>44806</v>
      </c>
      <c r="IO1" s="509"/>
      <c r="IP1" s="509"/>
      <c r="IQ1" s="509"/>
      <c r="IR1" s="508">
        <v>44805</v>
      </c>
      <c r="IS1" s="509"/>
      <c r="IT1" s="509"/>
      <c r="IU1" s="508">
        <v>44777</v>
      </c>
      <c r="IV1" s="509"/>
      <c r="IW1" s="509"/>
      <c r="IX1" s="508">
        <v>44776</v>
      </c>
      <c r="IY1" s="509"/>
      <c r="IZ1" s="509"/>
      <c r="JA1" s="508">
        <v>44775</v>
      </c>
      <c r="JB1" s="509"/>
      <c r="JC1" s="509"/>
      <c r="JD1" s="508">
        <v>44774</v>
      </c>
      <c r="JE1" s="509"/>
      <c r="JF1" s="509"/>
      <c r="JG1" s="508">
        <v>44746</v>
      </c>
      <c r="JH1" s="509"/>
      <c r="JI1" s="509"/>
      <c r="JJ1" s="508">
        <v>44745</v>
      </c>
      <c r="JK1" s="509"/>
      <c r="JL1" s="509"/>
      <c r="JM1" s="508">
        <v>44744</v>
      </c>
      <c r="JN1" s="509"/>
      <c r="JO1" s="509"/>
      <c r="JP1" s="508">
        <v>44743</v>
      </c>
      <c r="JQ1" s="509"/>
      <c r="JR1" s="509"/>
      <c r="JS1" s="508">
        <v>44716</v>
      </c>
      <c r="JT1" s="509"/>
      <c r="JU1" s="509"/>
      <c r="JV1" s="508">
        <v>44715</v>
      </c>
      <c r="JW1" s="509"/>
      <c r="JX1" s="509"/>
      <c r="JY1" s="508">
        <v>44714</v>
      </c>
      <c r="JZ1" s="508"/>
      <c r="KA1" s="508"/>
      <c r="KB1" s="4">
        <v>2022</v>
      </c>
      <c r="KC1" s="35"/>
      <c r="KD1" s="5"/>
      <c r="KE1" s="17"/>
      <c r="KF1" s="5"/>
    </row>
    <row r="2" spans="1:293" s="40" customFormat="1">
      <c r="A2" s="34" t="s">
        <v>3</v>
      </c>
      <c r="B2" s="34"/>
      <c r="C2" s="34">
        <v>1</v>
      </c>
      <c r="D2" s="34">
        <v>2</v>
      </c>
      <c r="E2" s="34">
        <v>3</v>
      </c>
      <c r="F2" s="34">
        <v>1</v>
      </c>
      <c r="G2" s="34">
        <v>2</v>
      </c>
      <c r="H2" s="34">
        <v>3</v>
      </c>
      <c r="I2" s="34">
        <v>1</v>
      </c>
      <c r="J2" s="34">
        <v>2</v>
      </c>
      <c r="K2" s="34">
        <v>3</v>
      </c>
      <c r="L2" s="34">
        <v>1</v>
      </c>
      <c r="M2" s="34">
        <v>2</v>
      </c>
      <c r="N2" s="34">
        <v>3</v>
      </c>
      <c r="O2" s="34">
        <v>1</v>
      </c>
      <c r="P2" s="34">
        <v>2</v>
      </c>
      <c r="Q2" s="34">
        <v>3</v>
      </c>
      <c r="R2" s="34">
        <v>1</v>
      </c>
      <c r="S2" s="34">
        <v>2</v>
      </c>
      <c r="T2" s="34">
        <v>3</v>
      </c>
      <c r="U2" s="34">
        <v>1</v>
      </c>
      <c r="V2" s="34">
        <v>2</v>
      </c>
      <c r="W2" s="34">
        <v>3</v>
      </c>
      <c r="X2" s="34">
        <v>1</v>
      </c>
      <c r="Y2" s="34">
        <v>2</v>
      </c>
      <c r="Z2" s="34">
        <v>3</v>
      </c>
      <c r="AA2" s="34">
        <v>1</v>
      </c>
      <c r="AB2" s="34">
        <v>2</v>
      </c>
      <c r="AC2" s="34">
        <v>3</v>
      </c>
      <c r="AD2" s="34">
        <v>1</v>
      </c>
      <c r="AE2" s="34">
        <v>2</v>
      </c>
      <c r="AF2" s="34">
        <v>3</v>
      </c>
      <c r="AG2" s="34"/>
      <c r="AH2" s="34">
        <v>1</v>
      </c>
      <c r="AI2" s="34">
        <v>2</v>
      </c>
      <c r="AJ2" s="34">
        <v>3</v>
      </c>
      <c r="AK2" s="34">
        <v>1</v>
      </c>
      <c r="AL2" s="34">
        <v>2</v>
      </c>
      <c r="AM2" s="34">
        <v>3</v>
      </c>
      <c r="AN2" s="34">
        <v>1</v>
      </c>
      <c r="AO2" s="34">
        <v>2</v>
      </c>
      <c r="AP2" s="34">
        <v>3</v>
      </c>
      <c r="AQ2" s="34">
        <v>1</v>
      </c>
      <c r="AR2" s="34">
        <v>2</v>
      </c>
      <c r="AS2" s="34">
        <v>3</v>
      </c>
      <c r="AT2" s="34">
        <v>1</v>
      </c>
      <c r="AU2" s="34">
        <v>2</v>
      </c>
      <c r="AV2" s="34">
        <v>3</v>
      </c>
      <c r="AW2" s="34">
        <v>1</v>
      </c>
      <c r="AX2" s="34">
        <v>2</v>
      </c>
      <c r="AY2" s="34">
        <v>3</v>
      </c>
      <c r="AZ2" s="34">
        <v>1</v>
      </c>
      <c r="BA2" s="34">
        <v>2</v>
      </c>
      <c r="BB2" s="34">
        <v>3</v>
      </c>
      <c r="BC2" s="34">
        <v>1</v>
      </c>
      <c r="BD2" s="34">
        <v>2</v>
      </c>
      <c r="BE2" s="34">
        <v>3</v>
      </c>
      <c r="BF2" s="34">
        <v>1</v>
      </c>
      <c r="BG2" s="34">
        <v>2</v>
      </c>
      <c r="BH2" s="34">
        <v>3</v>
      </c>
      <c r="BI2" s="34">
        <v>1</v>
      </c>
      <c r="BJ2" s="34">
        <v>2</v>
      </c>
      <c r="BK2" s="34">
        <v>3</v>
      </c>
      <c r="BL2" s="34">
        <v>1</v>
      </c>
      <c r="BM2" s="34">
        <v>2</v>
      </c>
      <c r="BN2" s="34">
        <v>3</v>
      </c>
      <c r="BO2" s="34">
        <v>1</v>
      </c>
      <c r="BP2" s="34">
        <v>2</v>
      </c>
      <c r="BQ2" s="34">
        <v>3</v>
      </c>
      <c r="BR2" s="34">
        <v>1</v>
      </c>
      <c r="BS2" s="34">
        <v>2</v>
      </c>
      <c r="BT2" s="34">
        <v>3</v>
      </c>
      <c r="BU2" s="34">
        <v>1</v>
      </c>
      <c r="BV2" s="34">
        <v>2</v>
      </c>
      <c r="BW2" s="34">
        <v>3</v>
      </c>
      <c r="BX2" s="34">
        <v>1</v>
      </c>
      <c r="BY2" s="34">
        <v>2</v>
      </c>
      <c r="BZ2" s="34">
        <v>3</v>
      </c>
      <c r="CA2" s="34">
        <v>1</v>
      </c>
      <c r="CB2" s="34">
        <v>2</v>
      </c>
      <c r="CC2" s="34">
        <v>3</v>
      </c>
      <c r="CD2" s="34">
        <v>1</v>
      </c>
      <c r="CE2" s="34">
        <v>2</v>
      </c>
      <c r="CF2" s="34">
        <v>3</v>
      </c>
      <c r="CG2" s="34">
        <v>1</v>
      </c>
      <c r="CH2" s="34">
        <v>2</v>
      </c>
      <c r="CI2" s="34">
        <v>3</v>
      </c>
      <c r="CJ2" s="34">
        <v>1</v>
      </c>
      <c r="CK2" s="34">
        <v>2</v>
      </c>
      <c r="CL2" s="34">
        <v>3</v>
      </c>
      <c r="CM2" s="34">
        <v>1</v>
      </c>
      <c r="CN2" s="34">
        <v>2</v>
      </c>
      <c r="CO2" s="34">
        <v>3</v>
      </c>
      <c r="CP2" s="34">
        <v>1</v>
      </c>
      <c r="CQ2" s="34">
        <v>2</v>
      </c>
      <c r="CR2" s="34">
        <v>3</v>
      </c>
      <c r="CS2" s="34">
        <v>1</v>
      </c>
      <c r="CT2" s="34">
        <v>2</v>
      </c>
      <c r="CU2" s="34">
        <v>3</v>
      </c>
      <c r="CV2" s="34">
        <v>1</v>
      </c>
      <c r="CW2" s="34">
        <v>2</v>
      </c>
      <c r="CX2" s="34">
        <v>3</v>
      </c>
      <c r="CY2" s="34">
        <v>1</v>
      </c>
      <c r="CZ2" s="34">
        <v>2</v>
      </c>
      <c r="DA2" s="34">
        <v>3</v>
      </c>
      <c r="DB2" s="34">
        <v>1</v>
      </c>
      <c r="DC2" s="34">
        <v>2</v>
      </c>
      <c r="DD2" s="34">
        <v>3</v>
      </c>
      <c r="DE2" s="34">
        <v>4</v>
      </c>
      <c r="DF2" s="34">
        <v>1</v>
      </c>
      <c r="DG2" s="34">
        <v>2</v>
      </c>
      <c r="DH2" s="34">
        <v>3</v>
      </c>
      <c r="DI2" s="34">
        <v>1</v>
      </c>
      <c r="DJ2" s="34">
        <v>2</v>
      </c>
      <c r="DK2" s="34">
        <v>3</v>
      </c>
      <c r="DL2" s="34">
        <v>1</v>
      </c>
      <c r="DM2" s="34">
        <v>2</v>
      </c>
      <c r="DN2" s="34">
        <v>1</v>
      </c>
      <c r="DO2" s="34">
        <v>2</v>
      </c>
      <c r="DP2" s="34">
        <v>3</v>
      </c>
      <c r="DQ2" s="34">
        <v>1</v>
      </c>
      <c r="DR2" s="34">
        <v>2</v>
      </c>
      <c r="DS2" s="34">
        <v>3</v>
      </c>
      <c r="DT2" s="34">
        <v>1</v>
      </c>
      <c r="DU2" s="34">
        <v>2</v>
      </c>
      <c r="DV2" s="34">
        <v>3</v>
      </c>
      <c r="DW2" s="34">
        <v>1</v>
      </c>
      <c r="DX2" s="34">
        <v>2</v>
      </c>
      <c r="DY2" s="34">
        <v>3</v>
      </c>
      <c r="DZ2" s="34">
        <v>1</v>
      </c>
      <c r="EA2" s="34">
        <v>2</v>
      </c>
      <c r="EB2" s="34">
        <v>3</v>
      </c>
      <c r="EC2" s="34">
        <v>1</v>
      </c>
      <c r="ED2" s="34">
        <v>2</v>
      </c>
      <c r="EE2" s="34">
        <v>3</v>
      </c>
      <c r="EF2" s="34">
        <v>4</v>
      </c>
      <c r="EG2" s="34">
        <v>5</v>
      </c>
      <c r="EH2" s="34">
        <v>6</v>
      </c>
      <c r="EI2" s="34">
        <v>7</v>
      </c>
      <c r="EJ2" s="34">
        <v>8</v>
      </c>
      <c r="EK2" s="34">
        <v>9</v>
      </c>
      <c r="EL2" s="34">
        <v>1</v>
      </c>
      <c r="EM2" s="34">
        <v>2</v>
      </c>
      <c r="EN2" s="34">
        <v>3</v>
      </c>
      <c r="EO2" s="34">
        <v>4</v>
      </c>
      <c r="EP2" s="34">
        <v>1</v>
      </c>
      <c r="EQ2" s="34">
        <v>2</v>
      </c>
      <c r="ER2" s="34">
        <v>1</v>
      </c>
      <c r="ES2" s="34">
        <v>2</v>
      </c>
      <c r="ET2" s="34">
        <v>3</v>
      </c>
      <c r="EU2" s="34">
        <v>4</v>
      </c>
      <c r="EV2" s="34">
        <v>1</v>
      </c>
      <c r="EW2" s="34">
        <v>2</v>
      </c>
      <c r="EX2" s="34">
        <v>3</v>
      </c>
      <c r="EY2" s="34">
        <v>4</v>
      </c>
      <c r="EZ2" s="34">
        <v>5</v>
      </c>
      <c r="FA2" s="34">
        <v>1</v>
      </c>
      <c r="FB2" s="34">
        <v>2</v>
      </c>
      <c r="FC2" s="34">
        <v>3</v>
      </c>
      <c r="FD2" s="34">
        <v>1</v>
      </c>
      <c r="FE2" s="34">
        <v>2</v>
      </c>
      <c r="FF2" s="34">
        <v>3</v>
      </c>
      <c r="FG2" s="34">
        <v>1</v>
      </c>
      <c r="FH2" s="34">
        <v>2</v>
      </c>
      <c r="FI2" s="34">
        <v>3</v>
      </c>
      <c r="FJ2" s="34">
        <v>1</v>
      </c>
      <c r="FK2" s="34">
        <v>2</v>
      </c>
      <c r="FL2" s="34">
        <v>3</v>
      </c>
      <c r="FM2" s="34">
        <v>4</v>
      </c>
      <c r="FN2" s="34">
        <v>5</v>
      </c>
      <c r="FO2" s="34">
        <v>6</v>
      </c>
      <c r="FP2" s="34">
        <v>1</v>
      </c>
      <c r="FQ2" s="34">
        <v>2</v>
      </c>
      <c r="FR2" s="34">
        <v>3</v>
      </c>
      <c r="FS2" s="34">
        <v>4</v>
      </c>
      <c r="FT2" s="34">
        <v>1</v>
      </c>
      <c r="FU2" s="34">
        <v>2</v>
      </c>
      <c r="FV2" s="34">
        <v>3</v>
      </c>
      <c r="FW2" s="34">
        <v>1</v>
      </c>
      <c r="FX2" s="34">
        <v>2</v>
      </c>
      <c r="FY2" s="34">
        <v>3</v>
      </c>
      <c r="FZ2" s="34">
        <v>1</v>
      </c>
      <c r="GA2" s="34">
        <v>2</v>
      </c>
      <c r="GB2" s="34">
        <v>3</v>
      </c>
      <c r="GC2" s="34">
        <v>4</v>
      </c>
      <c r="GD2" s="34">
        <v>5</v>
      </c>
      <c r="GE2" s="34">
        <v>6</v>
      </c>
      <c r="GF2" s="34">
        <v>7</v>
      </c>
      <c r="GG2" s="34">
        <v>8</v>
      </c>
      <c r="GH2" s="34">
        <v>9</v>
      </c>
      <c r="GI2" s="34">
        <v>10</v>
      </c>
      <c r="GJ2" s="34">
        <v>11</v>
      </c>
      <c r="GK2" s="34">
        <v>12</v>
      </c>
      <c r="GL2" s="34"/>
      <c r="GM2" s="34">
        <v>1</v>
      </c>
      <c r="GN2" s="34">
        <v>2</v>
      </c>
      <c r="GO2" s="34">
        <v>3</v>
      </c>
      <c r="GP2" s="34">
        <v>4</v>
      </c>
      <c r="GQ2" s="34">
        <v>5</v>
      </c>
      <c r="GR2" s="34">
        <v>1</v>
      </c>
      <c r="GS2" s="34">
        <v>2</v>
      </c>
      <c r="GT2" s="34">
        <v>1</v>
      </c>
      <c r="GU2" s="34">
        <v>2</v>
      </c>
      <c r="GV2" s="34">
        <v>3</v>
      </c>
      <c r="GW2" s="34">
        <v>1</v>
      </c>
      <c r="GX2" s="34">
        <v>2</v>
      </c>
      <c r="GY2" s="34">
        <v>3</v>
      </c>
      <c r="GZ2" s="34">
        <v>4</v>
      </c>
      <c r="HA2" s="34">
        <v>1</v>
      </c>
      <c r="HB2" s="34">
        <v>2</v>
      </c>
      <c r="HC2" s="34">
        <v>3</v>
      </c>
      <c r="HD2" s="34">
        <v>4</v>
      </c>
      <c r="HE2" s="34">
        <v>5</v>
      </c>
      <c r="HF2" s="34">
        <v>6</v>
      </c>
      <c r="HG2" s="34">
        <v>7</v>
      </c>
      <c r="HH2" s="34">
        <v>1</v>
      </c>
      <c r="HI2" s="34">
        <v>2</v>
      </c>
      <c r="HJ2" s="34">
        <v>3</v>
      </c>
      <c r="HK2" s="34">
        <v>1</v>
      </c>
      <c r="HL2" s="34">
        <v>2</v>
      </c>
      <c r="HM2" s="34">
        <v>3</v>
      </c>
      <c r="HN2" s="34">
        <v>1</v>
      </c>
      <c r="HO2" s="34">
        <v>2</v>
      </c>
      <c r="HP2" s="34">
        <v>3</v>
      </c>
      <c r="HQ2" s="34">
        <v>4</v>
      </c>
      <c r="HR2" s="34">
        <v>5</v>
      </c>
      <c r="HS2" s="34">
        <v>1</v>
      </c>
      <c r="HT2" s="34">
        <v>2</v>
      </c>
      <c r="HU2" s="34">
        <v>3</v>
      </c>
      <c r="HV2" s="34">
        <v>4</v>
      </c>
      <c r="HW2" s="34">
        <v>1</v>
      </c>
      <c r="HX2" s="34">
        <v>2</v>
      </c>
      <c r="HY2" s="34">
        <v>3</v>
      </c>
      <c r="HZ2" s="34">
        <v>1</v>
      </c>
      <c r="IA2" s="34">
        <v>2</v>
      </c>
      <c r="IB2" s="34">
        <v>3</v>
      </c>
      <c r="IC2" s="34">
        <v>4</v>
      </c>
      <c r="ID2" s="34">
        <v>5</v>
      </c>
      <c r="IE2" s="34">
        <v>1</v>
      </c>
      <c r="IF2" s="34">
        <v>2</v>
      </c>
      <c r="IG2" s="34">
        <v>3</v>
      </c>
      <c r="IH2" s="34">
        <v>4</v>
      </c>
      <c r="II2" s="34">
        <v>1</v>
      </c>
      <c r="IJ2" s="34">
        <v>2</v>
      </c>
      <c r="IK2" s="34">
        <v>3</v>
      </c>
      <c r="IL2" s="34">
        <v>1</v>
      </c>
      <c r="IM2" s="34">
        <v>2</v>
      </c>
      <c r="IN2" s="34">
        <v>1</v>
      </c>
      <c r="IO2" s="34">
        <v>2</v>
      </c>
      <c r="IP2" s="34">
        <v>3</v>
      </c>
      <c r="IQ2" s="34">
        <v>4</v>
      </c>
      <c r="IR2" s="34">
        <v>1</v>
      </c>
      <c r="IS2" s="34">
        <v>2</v>
      </c>
      <c r="IT2" s="34">
        <v>3</v>
      </c>
      <c r="IU2" s="34">
        <v>1</v>
      </c>
      <c r="IV2" s="34">
        <v>2</v>
      </c>
      <c r="IW2" s="34">
        <v>3</v>
      </c>
      <c r="IX2" s="34">
        <v>1</v>
      </c>
      <c r="IY2" s="34">
        <v>2</v>
      </c>
      <c r="IZ2" s="34">
        <v>3</v>
      </c>
      <c r="JA2" s="34">
        <v>1</v>
      </c>
      <c r="JB2" s="34">
        <v>2</v>
      </c>
      <c r="JC2" s="34">
        <v>3</v>
      </c>
      <c r="JD2" s="34">
        <v>1</v>
      </c>
      <c r="JE2" s="34">
        <v>2</v>
      </c>
      <c r="JF2" s="34">
        <v>3</v>
      </c>
      <c r="JG2" s="34">
        <v>1</v>
      </c>
      <c r="JH2" s="34">
        <v>2</v>
      </c>
      <c r="JI2" s="34">
        <v>3</v>
      </c>
      <c r="JJ2" s="34">
        <v>1</v>
      </c>
      <c r="JK2" s="34">
        <v>2</v>
      </c>
      <c r="JL2" s="34">
        <v>3</v>
      </c>
      <c r="JM2" s="34">
        <v>1</v>
      </c>
      <c r="JN2" s="34">
        <v>2</v>
      </c>
      <c r="JO2" s="34">
        <v>3</v>
      </c>
      <c r="JP2" s="34">
        <v>1</v>
      </c>
      <c r="JQ2" s="34">
        <v>2</v>
      </c>
      <c r="JR2" s="34">
        <v>3</v>
      </c>
      <c r="JS2" s="34">
        <v>1</v>
      </c>
      <c r="JT2" s="34">
        <v>2</v>
      </c>
      <c r="JU2" s="34">
        <v>3</v>
      </c>
      <c r="JV2" s="34">
        <v>1</v>
      </c>
      <c r="JW2" s="34">
        <v>2</v>
      </c>
      <c r="JX2" s="34">
        <v>3</v>
      </c>
      <c r="JY2" s="34">
        <v>1</v>
      </c>
      <c r="JZ2" s="34">
        <v>2</v>
      </c>
      <c r="KA2" s="34">
        <v>3</v>
      </c>
      <c r="KB2" s="34"/>
      <c r="KC2" s="38" t="s">
        <v>6</v>
      </c>
      <c r="KD2" s="39" t="s">
        <v>7</v>
      </c>
      <c r="KE2" s="39" t="s">
        <v>4</v>
      </c>
      <c r="KF2" s="39" t="s">
        <v>5</v>
      </c>
      <c r="KG2" s="214"/>
    </row>
    <row r="3" spans="1:293" ht="16.5" hidden="1" customHeight="1">
      <c r="A3" s="8" t="s">
        <v>35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>
        <v>97</v>
      </c>
      <c r="CE3" s="18">
        <v>96</v>
      </c>
      <c r="CF3" s="18">
        <v>94</v>
      </c>
      <c r="CG3" s="18"/>
      <c r="CH3" s="18"/>
      <c r="CI3" s="18"/>
      <c r="CJ3" s="18"/>
      <c r="CK3" s="18"/>
      <c r="CL3" s="18"/>
      <c r="CM3" s="18">
        <v>108</v>
      </c>
      <c r="CN3" s="18">
        <v>110</v>
      </c>
      <c r="CO3" s="18">
        <v>98</v>
      </c>
      <c r="CP3" s="18">
        <v>95</v>
      </c>
      <c r="CQ3" s="18">
        <v>124</v>
      </c>
      <c r="CR3" s="18">
        <v>101</v>
      </c>
      <c r="CS3" s="18">
        <v>107</v>
      </c>
      <c r="CT3" s="18">
        <v>131</v>
      </c>
      <c r="CU3" s="18">
        <v>132</v>
      </c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>
        <v>109</v>
      </c>
      <c r="EW3" s="18">
        <v>146</v>
      </c>
      <c r="EX3" s="18">
        <v>127</v>
      </c>
      <c r="EY3" s="18">
        <v>106</v>
      </c>
      <c r="EZ3" s="18"/>
      <c r="FA3" s="18"/>
      <c r="FB3" s="18">
        <v>104</v>
      </c>
      <c r="FC3" s="18">
        <v>124</v>
      </c>
      <c r="FD3" s="18">
        <v>107</v>
      </c>
      <c r="FE3" s="18">
        <v>93</v>
      </c>
      <c r="FF3" s="18">
        <v>141</v>
      </c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>
        <v>98</v>
      </c>
      <c r="FU3" s="18">
        <v>91</v>
      </c>
      <c r="FV3" s="18">
        <v>130</v>
      </c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>
        <v>131</v>
      </c>
      <c r="GS3" s="18">
        <v>100</v>
      </c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>
        <v>99</v>
      </c>
      <c r="IJ3" s="18">
        <v>89</v>
      </c>
      <c r="IK3" s="18">
        <v>85</v>
      </c>
      <c r="IL3" s="18">
        <v>119</v>
      </c>
      <c r="IM3" s="18">
        <v>85</v>
      </c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>
        <v>137</v>
      </c>
      <c r="IY3" s="18">
        <v>102</v>
      </c>
      <c r="IZ3" s="18">
        <v>103</v>
      </c>
      <c r="JA3" s="18">
        <v>116</v>
      </c>
      <c r="JB3" s="18">
        <v>103</v>
      </c>
      <c r="JC3" s="18">
        <v>103</v>
      </c>
      <c r="JD3" s="18"/>
      <c r="JE3" s="18"/>
      <c r="JF3" s="18"/>
      <c r="JG3" s="18">
        <v>108</v>
      </c>
      <c r="JH3" s="18">
        <v>84</v>
      </c>
      <c r="JI3" s="18">
        <v>92</v>
      </c>
      <c r="JJ3" s="18"/>
      <c r="JK3" s="18"/>
      <c r="JL3" s="18"/>
      <c r="JM3" s="18"/>
      <c r="JN3" s="18">
        <v>88</v>
      </c>
      <c r="JO3" s="18">
        <v>102</v>
      </c>
      <c r="JP3" s="18">
        <v>102</v>
      </c>
      <c r="JQ3" s="18">
        <v>82</v>
      </c>
      <c r="JR3" s="18">
        <v>94</v>
      </c>
      <c r="JS3" s="13"/>
      <c r="JT3" s="13"/>
      <c r="JU3" s="13"/>
      <c r="JV3" s="13">
        <v>120</v>
      </c>
      <c r="JW3" s="13">
        <v>109</v>
      </c>
      <c r="JX3" s="13">
        <v>89</v>
      </c>
      <c r="JY3" s="13"/>
      <c r="JZ3" s="13"/>
      <c r="KA3" s="13"/>
      <c r="KB3" s="13"/>
      <c r="KC3" s="36">
        <f>SUM($O3:$Q3)</f>
        <v>0</v>
      </c>
      <c r="KD3" s="10">
        <f>IFERROR(IF(KC3=0,0,KC3/COUNTIF($A3:$Q3,"&gt;0")),0)</f>
        <v>0</v>
      </c>
      <c r="KE3" s="10">
        <f>IFERROR(SUM(A3:AG3)/COUNTIF(A3:AG3, "&gt;0"),0)</f>
        <v>0</v>
      </c>
      <c r="KF3" s="10">
        <f t="shared" ref="KF3:KF37" si="0">SUM(A3:KB3)/COUNTIF(A3:KB3,"&gt;0")</f>
        <v>106.47916666666667</v>
      </c>
    </row>
    <row r="4" spans="1:293">
      <c r="A4" s="8" t="s">
        <v>13</v>
      </c>
      <c r="B4" s="8"/>
      <c r="C4" s="8"/>
      <c r="D4" s="8">
        <v>178</v>
      </c>
      <c r="E4" s="8">
        <v>167</v>
      </c>
      <c r="F4" s="8"/>
      <c r="G4" s="8"/>
      <c r="H4" s="8"/>
      <c r="I4" s="8">
        <v>153</v>
      </c>
      <c r="J4" s="8">
        <v>188</v>
      </c>
      <c r="K4" s="8">
        <v>144</v>
      </c>
      <c r="L4" s="8">
        <v>192</v>
      </c>
      <c r="M4" s="8">
        <v>193</v>
      </c>
      <c r="N4" s="8">
        <v>146</v>
      </c>
      <c r="O4" s="8">
        <v>153</v>
      </c>
      <c r="P4" s="8">
        <v>205</v>
      </c>
      <c r="Q4" s="8">
        <v>174</v>
      </c>
      <c r="R4" s="8">
        <v>185</v>
      </c>
      <c r="S4" s="8">
        <v>159</v>
      </c>
      <c r="T4" s="8">
        <v>145</v>
      </c>
      <c r="U4" s="8">
        <v>128</v>
      </c>
      <c r="V4" s="8">
        <v>168</v>
      </c>
      <c r="W4" s="8">
        <v>120</v>
      </c>
      <c r="X4" s="18"/>
      <c r="Y4" s="18">
        <v>154</v>
      </c>
      <c r="Z4" s="18">
        <v>133</v>
      </c>
      <c r="AA4" s="18">
        <v>125</v>
      </c>
      <c r="AB4" s="18">
        <v>170</v>
      </c>
      <c r="AC4" s="18">
        <v>139</v>
      </c>
      <c r="AD4" s="18"/>
      <c r="AE4" s="18"/>
      <c r="AF4" s="18"/>
      <c r="AG4" s="18"/>
      <c r="AH4" s="18"/>
      <c r="AI4" s="18"/>
      <c r="AJ4" s="18"/>
      <c r="AK4" s="18">
        <v>161</v>
      </c>
      <c r="AL4" s="18">
        <v>128</v>
      </c>
      <c r="AM4" s="18">
        <v>139</v>
      </c>
      <c r="AN4" s="18">
        <v>194</v>
      </c>
      <c r="AO4" s="18">
        <v>161</v>
      </c>
      <c r="AP4" s="18">
        <v>136</v>
      </c>
      <c r="AQ4" s="18">
        <v>124</v>
      </c>
      <c r="AR4" s="18">
        <v>145</v>
      </c>
      <c r="AS4" s="18">
        <v>207</v>
      </c>
      <c r="AT4" s="18">
        <v>139</v>
      </c>
      <c r="AU4" s="18">
        <v>183</v>
      </c>
      <c r="AV4" s="18">
        <v>171</v>
      </c>
      <c r="AW4" s="18"/>
      <c r="AX4" s="18"/>
      <c r="AY4" s="18"/>
      <c r="AZ4" s="18">
        <v>219</v>
      </c>
      <c r="BA4" s="18">
        <v>154</v>
      </c>
      <c r="BB4" s="18">
        <v>181</v>
      </c>
      <c r="BC4" s="28">
        <v>148</v>
      </c>
      <c r="BD4" s="28">
        <v>156</v>
      </c>
      <c r="BE4" s="28">
        <v>153</v>
      </c>
      <c r="BF4" s="18">
        <v>214</v>
      </c>
      <c r="BG4" s="18">
        <v>147</v>
      </c>
      <c r="BH4" s="18">
        <v>155</v>
      </c>
      <c r="BI4" s="18">
        <v>199</v>
      </c>
      <c r="BJ4" s="18">
        <v>169</v>
      </c>
      <c r="BK4" s="18">
        <v>148</v>
      </c>
      <c r="BL4" s="18">
        <v>173</v>
      </c>
      <c r="BM4" s="18">
        <v>183</v>
      </c>
      <c r="BN4" s="18">
        <v>196</v>
      </c>
      <c r="BO4" s="18">
        <v>158</v>
      </c>
      <c r="BP4" s="18">
        <v>222</v>
      </c>
      <c r="BQ4" s="18">
        <v>152</v>
      </c>
      <c r="BR4" s="18">
        <v>164</v>
      </c>
      <c r="BS4" s="18">
        <v>136</v>
      </c>
      <c r="BT4" s="18">
        <v>199</v>
      </c>
      <c r="BU4" s="18">
        <v>132</v>
      </c>
      <c r="BV4" s="18">
        <v>142</v>
      </c>
      <c r="BW4" s="18">
        <v>156</v>
      </c>
      <c r="BX4" s="18">
        <v>133</v>
      </c>
      <c r="BY4" s="18">
        <v>117</v>
      </c>
      <c r="BZ4" s="18">
        <v>202</v>
      </c>
      <c r="CA4" s="18">
        <v>177</v>
      </c>
      <c r="CB4" s="18">
        <v>192</v>
      </c>
      <c r="CC4" s="18">
        <v>178</v>
      </c>
      <c r="CD4" s="18">
        <v>166</v>
      </c>
      <c r="CE4" s="18">
        <v>139</v>
      </c>
      <c r="CF4" s="19">
        <v>243</v>
      </c>
      <c r="CG4" s="18">
        <v>171</v>
      </c>
      <c r="CH4" s="18">
        <v>161</v>
      </c>
      <c r="CI4" s="18">
        <v>118</v>
      </c>
      <c r="CJ4" s="18">
        <v>152</v>
      </c>
      <c r="CK4" s="18">
        <v>164</v>
      </c>
      <c r="CL4" s="18">
        <v>188</v>
      </c>
      <c r="CM4" s="18"/>
      <c r="CN4" s="18"/>
      <c r="CO4" s="18"/>
      <c r="CP4" s="18">
        <v>116</v>
      </c>
      <c r="CQ4" s="18">
        <v>169</v>
      </c>
      <c r="CR4" s="18">
        <v>162</v>
      </c>
      <c r="CS4" s="18">
        <v>172</v>
      </c>
      <c r="CT4" s="18">
        <v>148</v>
      </c>
      <c r="CU4" s="18">
        <v>195</v>
      </c>
      <c r="CV4" s="18"/>
      <c r="CW4" s="18"/>
      <c r="CX4" s="18"/>
      <c r="CY4" s="18">
        <v>194</v>
      </c>
      <c r="CZ4" s="18">
        <v>173</v>
      </c>
      <c r="DA4" s="18">
        <v>144</v>
      </c>
      <c r="DB4" s="18">
        <v>190</v>
      </c>
      <c r="DC4" s="18">
        <v>157</v>
      </c>
      <c r="DD4" s="18">
        <v>190</v>
      </c>
      <c r="DE4" s="18"/>
      <c r="DF4" s="18">
        <v>182</v>
      </c>
      <c r="DG4" s="18">
        <v>144</v>
      </c>
      <c r="DH4" s="18">
        <v>177</v>
      </c>
      <c r="DI4" s="18"/>
      <c r="DJ4" s="18"/>
      <c r="DK4" s="18"/>
      <c r="DL4" s="18">
        <v>166</v>
      </c>
      <c r="DM4" s="18">
        <v>156</v>
      </c>
      <c r="DN4" s="18">
        <v>163</v>
      </c>
      <c r="DO4" s="18">
        <v>157</v>
      </c>
      <c r="DP4" s="18">
        <v>97</v>
      </c>
      <c r="DQ4" s="18">
        <v>193</v>
      </c>
      <c r="DR4" s="18">
        <v>191</v>
      </c>
      <c r="DS4" s="18">
        <v>175</v>
      </c>
      <c r="DT4" s="18">
        <v>170</v>
      </c>
      <c r="DU4" s="18">
        <v>188</v>
      </c>
      <c r="DV4" s="18">
        <v>158</v>
      </c>
      <c r="DW4" s="18">
        <v>152</v>
      </c>
      <c r="DX4" s="18">
        <v>146</v>
      </c>
      <c r="DY4" s="18">
        <v>196</v>
      </c>
      <c r="DZ4" s="18">
        <v>127</v>
      </c>
      <c r="EA4" s="18">
        <v>131</v>
      </c>
      <c r="EB4" s="18">
        <v>173</v>
      </c>
      <c r="EC4" s="18">
        <v>160</v>
      </c>
      <c r="ED4" s="18">
        <v>162</v>
      </c>
      <c r="EE4" s="18">
        <v>116</v>
      </c>
      <c r="EF4" s="18">
        <v>182</v>
      </c>
      <c r="EG4" s="18">
        <v>150</v>
      </c>
      <c r="EH4" s="18">
        <v>141</v>
      </c>
      <c r="EI4" s="18">
        <v>160</v>
      </c>
      <c r="EJ4" s="18">
        <v>125</v>
      </c>
      <c r="EK4" s="18">
        <v>160</v>
      </c>
      <c r="EL4" s="18">
        <v>151</v>
      </c>
      <c r="EM4" s="18">
        <v>166</v>
      </c>
      <c r="EN4" s="20">
        <v>212</v>
      </c>
      <c r="EO4" s="18">
        <v>144</v>
      </c>
      <c r="EP4" s="18">
        <v>149</v>
      </c>
      <c r="EQ4" s="18">
        <v>192</v>
      </c>
      <c r="ER4" s="18">
        <v>154</v>
      </c>
      <c r="ES4" s="18">
        <v>141</v>
      </c>
      <c r="ET4" s="18">
        <v>128</v>
      </c>
      <c r="EU4" s="18">
        <v>139</v>
      </c>
      <c r="EV4" s="18"/>
      <c r="EW4" s="18"/>
      <c r="EX4" s="18"/>
      <c r="EY4" s="18"/>
      <c r="EZ4" s="18"/>
      <c r="FA4" s="18">
        <v>141</v>
      </c>
      <c r="FB4" s="18"/>
      <c r="FC4" s="18">
        <v>125</v>
      </c>
      <c r="FD4" s="18">
        <v>152</v>
      </c>
      <c r="FE4" s="18">
        <v>158</v>
      </c>
      <c r="FF4" s="18">
        <v>126</v>
      </c>
      <c r="FG4" s="18">
        <v>132</v>
      </c>
      <c r="FH4" s="18">
        <v>151</v>
      </c>
      <c r="FI4" s="18">
        <v>142</v>
      </c>
      <c r="FJ4" s="18">
        <v>147</v>
      </c>
      <c r="FK4" s="18">
        <v>193</v>
      </c>
      <c r="FL4" s="18">
        <v>147</v>
      </c>
      <c r="FM4" s="18">
        <v>170</v>
      </c>
      <c r="FN4" s="18">
        <v>175</v>
      </c>
      <c r="FO4" s="18">
        <v>163</v>
      </c>
      <c r="FP4" s="18"/>
      <c r="FQ4" s="18"/>
      <c r="FR4" s="18"/>
      <c r="FS4" s="24"/>
      <c r="FT4" s="18">
        <v>158</v>
      </c>
      <c r="FU4" s="18">
        <v>141</v>
      </c>
      <c r="FV4" s="18">
        <v>169</v>
      </c>
      <c r="FW4" s="18">
        <v>150</v>
      </c>
      <c r="FX4" s="18">
        <v>167</v>
      </c>
      <c r="FY4" s="18">
        <v>150</v>
      </c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21">
        <v>234</v>
      </c>
      <c r="GS4" s="18">
        <v>191</v>
      </c>
      <c r="GT4" s="20">
        <v>200</v>
      </c>
      <c r="GU4" s="18">
        <v>128</v>
      </c>
      <c r="GV4" s="18">
        <v>190</v>
      </c>
      <c r="GW4" s="18"/>
      <c r="GX4" s="18"/>
      <c r="GY4" s="18"/>
      <c r="GZ4" s="18"/>
      <c r="HA4" s="18">
        <v>131</v>
      </c>
      <c r="HB4" s="18">
        <v>170</v>
      </c>
      <c r="HC4" s="18">
        <v>151</v>
      </c>
      <c r="HD4" s="18">
        <v>167</v>
      </c>
      <c r="HE4" s="18">
        <v>122</v>
      </c>
      <c r="HF4" s="18">
        <v>168</v>
      </c>
      <c r="HG4" s="18">
        <v>157</v>
      </c>
      <c r="HH4" s="18"/>
      <c r="HI4" s="18"/>
      <c r="HJ4" s="18"/>
      <c r="HK4" s="18">
        <v>150</v>
      </c>
      <c r="HL4" s="18">
        <v>188</v>
      </c>
      <c r="HM4" s="18">
        <v>155</v>
      </c>
      <c r="HN4" s="18">
        <v>136</v>
      </c>
      <c r="HO4" s="18">
        <v>146</v>
      </c>
      <c r="HP4" s="18">
        <v>196</v>
      </c>
      <c r="HQ4" s="18">
        <v>171</v>
      </c>
      <c r="HR4" s="18">
        <v>168</v>
      </c>
      <c r="HS4" s="18">
        <v>177</v>
      </c>
      <c r="HT4" s="18">
        <v>148</v>
      </c>
      <c r="HU4" s="18">
        <v>178</v>
      </c>
      <c r="HV4" s="18">
        <v>129</v>
      </c>
      <c r="HW4" s="18">
        <v>153</v>
      </c>
      <c r="HX4" s="18">
        <v>163</v>
      </c>
      <c r="HY4" s="18">
        <v>138</v>
      </c>
      <c r="HZ4" s="18">
        <v>192</v>
      </c>
      <c r="IA4" s="18">
        <v>141</v>
      </c>
      <c r="IB4" s="20">
        <v>207</v>
      </c>
      <c r="IC4" s="18">
        <v>179</v>
      </c>
      <c r="ID4" s="18"/>
      <c r="IE4" s="18">
        <v>143</v>
      </c>
      <c r="IF4" s="18">
        <v>136</v>
      </c>
      <c r="IG4" s="18">
        <v>160</v>
      </c>
      <c r="IH4" s="18">
        <v>180</v>
      </c>
      <c r="II4" s="18">
        <v>165</v>
      </c>
      <c r="IJ4" s="18">
        <v>148</v>
      </c>
      <c r="IK4" s="18">
        <v>123</v>
      </c>
      <c r="IL4" s="18">
        <v>153</v>
      </c>
      <c r="IM4" s="18">
        <v>164</v>
      </c>
      <c r="IN4" s="18">
        <v>175</v>
      </c>
      <c r="IO4" s="18">
        <v>199</v>
      </c>
      <c r="IP4" s="20">
        <v>210</v>
      </c>
      <c r="IQ4" s="18">
        <v>146</v>
      </c>
      <c r="IR4" s="18"/>
      <c r="IS4" s="18"/>
      <c r="IT4" s="18"/>
      <c r="IU4" s="18">
        <v>186</v>
      </c>
      <c r="IV4" s="18">
        <v>185</v>
      </c>
      <c r="IW4" s="18">
        <v>182</v>
      </c>
      <c r="IX4" s="18">
        <v>151</v>
      </c>
      <c r="IY4" s="18">
        <v>167</v>
      </c>
      <c r="IZ4" s="18">
        <v>194</v>
      </c>
      <c r="JA4" s="18">
        <v>163</v>
      </c>
      <c r="JB4" s="18">
        <v>183</v>
      </c>
      <c r="JC4" s="20">
        <v>214</v>
      </c>
      <c r="JD4" s="18">
        <v>158</v>
      </c>
      <c r="JE4" s="18">
        <v>175</v>
      </c>
      <c r="JF4" s="18">
        <v>134</v>
      </c>
      <c r="JG4" s="18">
        <v>148</v>
      </c>
      <c r="JH4" s="18">
        <v>188</v>
      </c>
      <c r="JI4" s="18">
        <v>149</v>
      </c>
      <c r="JJ4" s="18">
        <v>181</v>
      </c>
      <c r="JK4" s="18">
        <v>138</v>
      </c>
      <c r="JL4" s="18">
        <v>133</v>
      </c>
      <c r="JM4" s="18">
        <v>163</v>
      </c>
      <c r="JN4" s="18">
        <v>156</v>
      </c>
      <c r="JO4" s="18">
        <v>189</v>
      </c>
      <c r="JP4" s="18">
        <v>148</v>
      </c>
      <c r="JQ4" s="18">
        <v>127</v>
      </c>
      <c r="JR4" s="18">
        <v>128</v>
      </c>
      <c r="JS4" s="13">
        <v>160</v>
      </c>
      <c r="JT4" s="13">
        <v>114</v>
      </c>
      <c r="JU4" s="13">
        <v>178</v>
      </c>
      <c r="JV4" s="13">
        <v>149</v>
      </c>
      <c r="JW4" s="13">
        <v>115</v>
      </c>
      <c r="JX4" s="27">
        <v>212</v>
      </c>
      <c r="JY4" s="13"/>
      <c r="JZ4" s="13"/>
      <c r="KA4" s="13"/>
      <c r="KB4" s="13"/>
      <c r="KC4" s="36">
        <f t="shared" ref="KC4:KC36" si="1">SUM($F4:$H4)</f>
        <v>0</v>
      </c>
      <c r="KD4" s="10">
        <f>IFERROR(AVERAGE(C4:E4),0)</f>
        <v>172.5</v>
      </c>
      <c r="KE4" s="10">
        <f>IFERROR(SUM(A4:$AG4)/COUNTIF(A4:$AG4, "&gt;0"),0)</f>
        <v>159.95454545454547</v>
      </c>
      <c r="KF4" s="10">
        <f t="shared" si="0"/>
        <v>161.92201834862385</v>
      </c>
    </row>
    <row r="5" spans="1:293">
      <c r="A5" s="8" t="s">
        <v>11</v>
      </c>
      <c r="B5" s="8"/>
      <c r="C5" s="8">
        <v>160</v>
      </c>
      <c r="D5" s="8">
        <v>172</v>
      </c>
      <c r="E5" s="8">
        <v>173</v>
      </c>
      <c r="F5" s="8">
        <v>157</v>
      </c>
      <c r="G5" s="8">
        <v>143</v>
      </c>
      <c r="H5" s="8">
        <v>181</v>
      </c>
      <c r="I5" s="8">
        <v>146</v>
      </c>
      <c r="J5" s="8">
        <v>177</v>
      </c>
      <c r="K5" s="8">
        <v>146</v>
      </c>
      <c r="L5" s="8">
        <v>155</v>
      </c>
      <c r="M5" s="8">
        <v>175</v>
      </c>
      <c r="N5" s="8">
        <v>181</v>
      </c>
      <c r="O5" s="8"/>
      <c r="P5" s="8"/>
      <c r="Q5" s="8"/>
      <c r="R5" s="8">
        <v>208</v>
      </c>
      <c r="S5" s="8">
        <v>153</v>
      </c>
      <c r="T5" s="8">
        <v>208</v>
      </c>
      <c r="U5" s="8">
        <v>172</v>
      </c>
      <c r="V5" s="8">
        <v>132</v>
      </c>
      <c r="W5" s="8">
        <v>170</v>
      </c>
      <c r="X5" s="18">
        <v>128</v>
      </c>
      <c r="Y5" s="23">
        <v>211</v>
      </c>
      <c r="Z5" s="18">
        <v>124</v>
      </c>
      <c r="AA5" s="18">
        <v>170</v>
      </c>
      <c r="AB5" s="18">
        <v>148</v>
      </c>
      <c r="AC5" s="18">
        <v>155</v>
      </c>
      <c r="AD5" s="18">
        <v>104</v>
      </c>
      <c r="AE5" s="18">
        <v>167</v>
      </c>
      <c r="AF5" s="18">
        <v>162</v>
      </c>
      <c r="AG5" s="18"/>
      <c r="AH5" s="18">
        <v>169</v>
      </c>
      <c r="AI5" s="18">
        <v>160</v>
      </c>
      <c r="AJ5" s="18">
        <v>181</v>
      </c>
      <c r="AK5" s="18">
        <v>156</v>
      </c>
      <c r="AL5" s="18">
        <v>149</v>
      </c>
      <c r="AM5" s="18">
        <v>166</v>
      </c>
      <c r="AN5" s="18"/>
      <c r="AO5" s="18"/>
      <c r="AP5" s="18"/>
      <c r="AQ5" s="18">
        <v>203</v>
      </c>
      <c r="AR5" s="18">
        <v>165</v>
      </c>
      <c r="AS5" s="18">
        <v>153</v>
      </c>
      <c r="AT5" s="18">
        <v>180</v>
      </c>
      <c r="AU5" s="18">
        <v>193</v>
      </c>
      <c r="AV5" s="18">
        <v>163</v>
      </c>
      <c r="AW5" s="18">
        <v>185</v>
      </c>
      <c r="AX5" s="18">
        <v>181</v>
      </c>
      <c r="AY5" s="18">
        <v>159</v>
      </c>
      <c r="AZ5" s="18">
        <v>157</v>
      </c>
      <c r="BA5" s="18">
        <v>208</v>
      </c>
      <c r="BB5" s="18">
        <v>152</v>
      </c>
      <c r="BC5" s="28">
        <v>191</v>
      </c>
      <c r="BD5" s="28">
        <v>164</v>
      </c>
      <c r="BE5" s="28">
        <v>224</v>
      </c>
      <c r="BF5" s="18">
        <v>168</v>
      </c>
      <c r="BG5" s="18">
        <v>214</v>
      </c>
      <c r="BH5" s="18">
        <v>138</v>
      </c>
      <c r="BI5" s="18">
        <v>139</v>
      </c>
      <c r="BJ5" s="18">
        <v>159</v>
      </c>
      <c r="BK5" s="18">
        <v>178</v>
      </c>
      <c r="BL5" s="18">
        <v>176</v>
      </c>
      <c r="BM5" s="18">
        <v>155</v>
      </c>
      <c r="BN5" s="18">
        <v>125</v>
      </c>
      <c r="BO5" s="18">
        <v>198</v>
      </c>
      <c r="BP5" s="18">
        <v>187</v>
      </c>
      <c r="BQ5" s="18">
        <v>168</v>
      </c>
      <c r="BR5" s="18"/>
      <c r="BS5" s="18"/>
      <c r="BT5" s="18"/>
      <c r="BU5" s="18">
        <v>174</v>
      </c>
      <c r="BV5" s="18">
        <v>125</v>
      </c>
      <c r="BW5" s="18">
        <v>165</v>
      </c>
      <c r="BX5" s="18">
        <v>133</v>
      </c>
      <c r="BY5" s="18">
        <v>185</v>
      </c>
      <c r="BZ5" s="23">
        <v>194</v>
      </c>
      <c r="CA5" s="18"/>
      <c r="CB5" s="18"/>
      <c r="CC5" s="18"/>
      <c r="CD5" s="18"/>
      <c r="CE5" s="18"/>
      <c r="CF5" s="18"/>
      <c r="CG5" s="18">
        <v>134</v>
      </c>
      <c r="CH5" s="18">
        <v>193</v>
      </c>
      <c r="CI5" s="18">
        <v>175</v>
      </c>
      <c r="CJ5" s="18">
        <v>182</v>
      </c>
      <c r="CK5" s="18">
        <v>193</v>
      </c>
      <c r="CL5" s="18">
        <v>184</v>
      </c>
      <c r="CM5" s="20">
        <v>203</v>
      </c>
      <c r="CN5" s="18">
        <v>186</v>
      </c>
      <c r="CO5" s="18">
        <v>166</v>
      </c>
      <c r="CP5" s="18">
        <v>184</v>
      </c>
      <c r="CQ5" s="18">
        <v>202</v>
      </c>
      <c r="CR5" s="18">
        <v>170</v>
      </c>
      <c r="CS5" s="18">
        <v>119</v>
      </c>
      <c r="CT5" s="18">
        <v>140</v>
      </c>
      <c r="CU5" s="18">
        <v>192</v>
      </c>
      <c r="CV5" s="18">
        <v>126</v>
      </c>
      <c r="CW5" s="18">
        <v>181</v>
      </c>
      <c r="CX5" s="18">
        <v>190</v>
      </c>
      <c r="CY5" s="18"/>
      <c r="CZ5" s="18"/>
      <c r="DA5" s="18"/>
      <c r="DB5" s="18"/>
      <c r="DC5" s="18"/>
      <c r="DD5" s="18"/>
      <c r="DE5" s="18"/>
      <c r="DF5" s="18">
        <v>175</v>
      </c>
      <c r="DG5" s="18">
        <v>143</v>
      </c>
      <c r="DH5" s="18">
        <v>164</v>
      </c>
      <c r="DI5" s="18">
        <v>117</v>
      </c>
      <c r="DJ5" s="18">
        <v>195</v>
      </c>
      <c r="DK5" s="20">
        <v>215</v>
      </c>
      <c r="DL5" s="18">
        <v>116</v>
      </c>
      <c r="DM5" s="18">
        <v>138</v>
      </c>
      <c r="DN5" s="18">
        <v>199</v>
      </c>
      <c r="DO5" s="18">
        <v>149</v>
      </c>
      <c r="DP5" s="20">
        <v>210</v>
      </c>
      <c r="DQ5" s="18">
        <v>167</v>
      </c>
      <c r="DR5" s="20">
        <v>210</v>
      </c>
      <c r="DS5" s="18">
        <v>134</v>
      </c>
      <c r="DT5" s="18">
        <v>170</v>
      </c>
      <c r="DU5" s="18">
        <v>171</v>
      </c>
      <c r="DV5" s="18">
        <v>180</v>
      </c>
      <c r="DW5" s="18">
        <v>154</v>
      </c>
      <c r="DX5" s="18">
        <v>148</v>
      </c>
      <c r="DY5" s="18">
        <v>160</v>
      </c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>
        <v>175</v>
      </c>
      <c r="EQ5" s="18">
        <v>150</v>
      </c>
      <c r="ER5" s="18">
        <v>142</v>
      </c>
      <c r="ES5" s="18">
        <v>171</v>
      </c>
      <c r="ET5" s="18">
        <v>164</v>
      </c>
      <c r="EU5" s="20">
        <v>200</v>
      </c>
      <c r="EV5" s="18">
        <v>145</v>
      </c>
      <c r="EW5" s="18">
        <v>149</v>
      </c>
      <c r="EX5" s="18">
        <v>169</v>
      </c>
      <c r="EY5" s="18"/>
      <c r="EZ5" s="18"/>
      <c r="FA5" s="18">
        <v>151</v>
      </c>
      <c r="FB5" s="18">
        <v>160</v>
      </c>
      <c r="FC5" s="18">
        <v>147</v>
      </c>
      <c r="FD5" s="18">
        <v>154</v>
      </c>
      <c r="FE5" s="18">
        <v>144</v>
      </c>
      <c r="FF5" s="18">
        <v>136</v>
      </c>
      <c r="FG5" s="18">
        <v>133</v>
      </c>
      <c r="FH5" s="18">
        <v>151</v>
      </c>
      <c r="FI5" s="20">
        <v>211</v>
      </c>
      <c r="FJ5" s="18">
        <v>178</v>
      </c>
      <c r="FK5" s="18">
        <v>191</v>
      </c>
      <c r="FL5" s="18">
        <v>132</v>
      </c>
      <c r="FM5" s="18"/>
      <c r="FN5" s="18"/>
      <c r="FO5" s="18"/>
      <c r="FP5" s="18"/>
      <c r="FQ5" s="18"/>
      <c r="FR5" s="18"/>
      <c r="FS5" s="18"/>
      <c r="FT5" s="18">
        <v>164</v>
      </c>
      <c r="FU5" s="20">
        <v>225</v>
      </c>
      <c r="FV5" s="18">
        <v>169</v>
      </c>
      <c r="FW5" s="18">
        <v>169</v>
      </c>
      <c r="FX5" s="20">
        <v>231</v>
      </c>
      <c r="FY5" s="18">
        <v>104</v>
      </c>
      <c r="FZ5" s="18">
        <v>150</v>
      </c>
      <c r="GA5" s="18">
        <v>189</v>
      </c>
      <c r="GB5" s="21">
        <v>211</v>
      </c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>
        <v>198</v>
      </c>
      <c r="GS5" s="18">
        <v>168</v>
      </c>
      <c r="GT5" s="18">
        <v>190</v>
      </c>
      <c r="GU5" s="18">
        <v>191</v>
      </c>
      <c r="GV5" s="20">
        <v>205</v>
      </c>
      <c r="GW5" s="18">
        <v>139</v>
      </c>
      <c r="GX5" s="18">
        <v>143</v>
      </c>
      <c r="GY5" s="18">
        <v>180</v>
      </c>
      <c r="GZ5" s="18">
        <v>170</v>
      </c>
      <c r="HA5" s="18"/>
      <c r="HB5" s="18"/>
      <c r="HC5" s="18"/>
      <c r="HD5" s="18"/>
      <c r="HE5" s="18"/>
      <c r="HF5" s="18"/>
      <c r="HG5" s="18"/>
      <c r="HH5" s="18">
        <v>197</v>
      </c>
      <c r="HI5" s="18">
        <v>140</v>
      </c>
      <c r="HJ5" s="18">
        <v>156</v>
      </c>
      <c r="HK5" s="18">
        <v>183</v>
      </c>
      <c r="HL5" s="18">
        <v>177</v>
      </c>
      <c r="HM5" s="20">
        <v>226</v>
      </c>
      <c r="HN5" s="18">
        <v>177</v>
      </c>
      <c r="HO5" s="18">
        <v>134</v>
      </c>
      <c r="HP5" s="18">
        <v>165</v>
      </c>
      <c r="HQ5" s="18">
        <v>141</v>
      </c>
      <c r="HR5" s="18"/>
      <c r="HS5" s="18"/>
      <c r="HT5" s="18"/>
      <c r="HU5" s="18"/>
      <c r="HV5" s="18"/>
      <c r="HW5" s="18">
        <v>196</v>
      </c>
      <c r="HX5" s="18">
        <v>166</v>
      </c>
      <c r="HY5" s="18">
        <v>140</v>
      </c>
      <c r="HZ5" s="18">
        <v>164</v>
      </c>
      <c r="IA5" s="18">
        <v>116</v>
      </c>
      <c r="IB5" s="18">
        <v>146</v>
      </c>
      <c r="IC5" s="18">
        <v>154</v>
      </c>
      <c r="ID5" s="18"/>
      <c r="IE5" s="18">
        <v>163</v>
      </c>
      <c r="IF5" s="18">
        <v>142</v>
      </c>
      <c r="IG5" s="18">
        <v>144</v>
      </c>
      <c r="IH5" s="18"/>
      <c r="II5" s="18">
        <v>108</v>
      </c>
      <c r="IJ5" s="18">
        <v>124</v>
      </c>
      <c r="IK5" s="20">
        <v>211</v>
      </c>
      <c r="IL5" s="18">
        <v>192</v>
      </c>
      <c r="IM5" s="18">
        <v>136</v>
      </c>
      <c r="IN5" s="18"/>
      <c r="IO5" s="18"/>
      <c r="IP5" s="18"/>
      <c r="IQ5" s="18"/>
      <c r="IR5" s="18">
        <v>168</v>
      </c>
      <c r="IS5" s="18">
        <v>184</v>
      </c>
      <c r="IT5" s="18">
        <v>153</v>
      </c>
      <c r="IU5" s="18">
        <v>173</v>
      </c>
      <c r="IV5" s="18">
        <v>180</v>
      </c>
      <c r="IW5" s="18">
        <v>172</v>
      </c>
      <c r="IX5" s="18"/>
      <c r="IY5" s="18"/>
      <c r="IZ5" s="18"/>
      <c r="JA5" s="18">
        <v>135</v>
      </c>
      <c r="JB5" s="18">
        <v>150</v>
      </c>
      <c r="JC5" s="20">
        <v>215</v>
      </c>
      <c r="JD5" s="18">
        <v>191</v>
      </c>
      <c r="JE5" s="18">
        <v>159</v>
      </c>
      <c r="JF5" s="18">
        <v>166</v>
      </c>
      <c r="JG5" s="18">
        <v>161</v>
      </c>
      <c r="JH5" s="18">
        <v>163</v>
      </c>
      <c r="JI5" s="18">
        <v>167</v>
      </c>
      <c r="JJ5" s="18"/>
      <c r="JK5" s="18"/>
      <c r="JL5" s="18"/>
      <c r="JM5" s="18"/>
      <c r="JN5" s="18"/>
      <c r="JO5" s="18"/>
      <c r="JP5" s="18">
        <v>157</v>
      </c>
      <c r="JQ5" s="18">
        <v>165</v>
      </c>
      <c r="JR5" s="20">
        <v>207</v>
      </c>
      <c r="JS5" s="13"/>
      <c r="JT5" s="13"/>
      <c r="JU5" s="13"/>
      <c r="JV5" s="13">
        <v>177</v>
      </c>
      <c r="JW5" s="13">
        <v>168</v>
      </c>
      <c r="JX5" s="13">
        <v>197</v>
      </c>
      <c r="JY5" s="13">
        <v>141</v>
      </c>
      <c r="JZ5" s="13">
        <v>156</v>
      </c>
      <c r="KA5" s="13">
        <v>120</v>
      </c>
      <c r="KB5" s="13"/>
      <c r="KC5" s="36">
        <f t="shared" si="1"/>
        <v>481</v>
      </c>
      <c r="KD5" s="10">
        <f t="shared" ref="KD5:KD36" si="2">IFERROR(AVERAGE(C5:E5),0)</f>
        <v>168.33333333333334</v>
      </c>
      <c r="KE5" s="10">
        <f>IFERROR(SUM(A5:$AG5)/COUNTIF(A5:$AG5, "&gt;0"),0)</f>
        <v>162.14814814814815</v>
      </c>
      <c r="KF5" s="10">
        <f t="shared" si="0"/>
        <v>166.796875</v>
      </c>
    </row>
    <row r="6" spans="1:293">
      <c r="A6" s="8" t="s">
        <v>37</v>
      </c>
      <c r="B6" s="8"/>
      <c r="C6" s="8">
        <v>143</v>
      </c>
      <c r="D6" s="8">
        <v>183</v>
      </c>
      <c r="E6" s="8">
        <v>167</v>
      </c>
      <c r="F6" s="8">
        <v>139</v>
      </c>
      <c r="G6" s="221">
        <v>224</v>
      </c>
      <c r="H6" s="8">
        <v>160</v>
      </c>
      <c r="I6" s="8">
        <v>165</v>
      </c>
      <c r="J6" s="8">
        <v>156</v>
      </c>
      <c r="K6" s="8">
        <v>179</v>
      </c>
      <c r="L6" s="8">
        <v>176</v>
      </c>
      <c r="M6" s="8">
        <v>168</v>
      </c>
      <c r="N6" s="8">
        <v>206</v>
      </c>
      <c r="O6" s="8">
        <v>163</v>
      </c>
      <c r="P6" s="8">
        <v>167</v>
      </c>
      <c r="Q6" s="8">
        <v>186</v>
      </c>
      <c r="R6" s="8"/>
      <c r="S6" s="8"/>
      <c r="T6" s="8"/>
      <c r="U6" s="8"/>
      <c r="V6" s="8"/>
      <c r="W6" s="8"/>
      <c r="X6" s="18"/>
      <c r="Y6" s="18"/>
      <c r="Z6" s="18"/>
      <c r="AA6" s="18">
        <v>137</v>
      </c>
      <c r="AB6" s="18">
        <v>224</v>
      </c>
      <c r="AC6" s="18">
        <v>213</v>
      </c>
      <c r="AD6" s="23">
        <v>198</v>
      </c>
      <c r="AE6" s="18">
        <v>161</v>
      </c>
      <c r="AF6" s="18">
        <v>161</v>
      </c>
      <c r="AG6" s="18"/>
      <c r="AH6" s="18">
        <v>166</v>
      </c>
      <c r="AI6" s="18">
        <v>242</v>
      </c>
      <c r="AJ6" s="18">
        <v>193</v>
      </c>
      <c r="AK6" s="18">
        <v>166</v>
      </c>
      <c r="AL6" s="18">
        <v>148</v>
      </c>
      <c r="AM6" s="18">
        <v>157</v>
      </c>
      <c r="AN6" s="18"/>
      <c r="AO6" s="18"/>
      <c r="AP6" s="18"/>
      <c r="AQ6" s="18">
        <v>136</v>
      </c>
      <c r="AR6" s="18">
        <v>154</v>
      </c>
      <c r="AS6" s="18">
        <v>155</v>
      </c>
      <c r="AT6" s="18">
        <v>123</v>
      </c>
      <c r="AU6" s="18">
        <v>168</v>
      </c>
      <c r="AV6" s="18">
        <v>143</v>
      </c>
      <c r="AW6" s="18"/>
      <c r="AX6" s="18"/>
      <c r="AY6" s="18"/>
      <c r="AZ6" s="18"/>
      <c r="BA6" s="18"/>
      <c r="BB6" s="18"/>
      <c r="BC6" s="28">
        <v>176</v>
      </c>
      <c r="BD6" s="28">
        <v>215</v>
      </c>
      <c r="BE6" s="28">
        <v>160</v>
      </c>
      <c r="BF6" s="18">
        <v>149</v>
      </c>
      <c r="BG6" s="18">
        <v>142</v>
      </c>
      <c r="BH6" s="18">
        <v>179</v>
      </c>
      <c r="BI6" s="18">
        <v>162</v>
      </c>
      <c r="BJ6" s="18">
        <v>185</v>
      </c>
      <c r="BK6" s="18">
        <v>179</v>
      </c>
      <c r="BL6" s="18"/>
      <c r="BM6" s="18"/>
      <c r="BN6" s="18"/>
      <c r="BO6" s="18">
        <v>134</v>
      </c>
      <c r="BP6" s="18">
        <v>179</v>
      </c>
      <c r="BQ6" s="18">
        <v>157</v>
      </c>
      <c r="BR6" s="18"/>
      <c r="BS6" s="18"/>
      <c r="BT6" s="18"/>
      <c r="BU6" s="18">
        <v>191</v>
      </c>
      <c r="BV6" s="18">
        <v>149</v>
      </c>
      <c r="BW6" s="18">
        <v>201</v>
      </c>
      <c r="BX6" s="18">
        <v>136</v>
      </c>
      <c r="BY6" s="18">
        <v>160</v>
      </c>
      <c r="BZ6" s="18">
        <v>140</v>
      </c>
      <c r="CA6" s="18">
        <v>158</v>
      </c>
      <c r="CB6" s="18">
        <v>215</v>
      </c>
      <c r="CC6" s="18">
        <v>157</v>
      </c>
      <c r="CD6" s="18">
        <v>184</v>
      </c>
      <c r="CE6" s="19">
        <v>201</v>
      </c>
      <c r="CF6" s="18">
        <v>189</v>
      </c>
      <c r="CG6" s="18"/>
      <c r="CH6" s="18"/>
      <c r="CI6" s="18"/>
      <c r="CJ6" s="18"/>
      <c r="CK6" s="18"/>
      <c r="CL6" s="18"/>
      <c r="CM6" s="18">
        <v>194</v>
      </c>
      <c r="CN6" s="18">
        <v>152</v>
      </c>
      <c r="CO6" s="18">
        <v>192</v>
      </c>
      <c r="CP6" s="18">
        <v>161</v>
      </c>
      <c r="CQ6" s="18">
        <v>145</v>
      </c>
      <c r="CR6" s="18">
        <v>128</v>
      </c>
      <c r="CS6" s="18">
        <v>159</v>
      </c>
      <c r="CT6" s="18">
        <v>178</v>
      </c>
      <c r="CU6" s="18">
        <v>209</v>
      </c>
      <c r="CV6" s="18">
        <v>148</v>
      </c>
      <c r="CW6" s="18">
        <v>153</v>
      </c>
      <c r="CX6" s="18">
        <v>169</v>
      </c>
      <c r="CY6" s="18">
        <v>198</v>
      </c>
      <c r="CZ6" s="18">
        <v>182</v>
      </c>
      <c r="DA6" s="18">
        <v>133</v>
      </c>
      <c r="DB6" s="18">
        <v>147</v>
      </c>
      <c r="DC6" s="18">
        <v>144</v>
      </c>
      <c r="DD6" s="30">
        <v>207</v>
      </c>
      <c r="DE6" s="18"/>
      <c r="DF6" s="18">
        <v>170</v>
      </c>
      <c r="DG6" s="18">
        <v>161</v>
      </c>
      <c r="DH6" s="18">
        <v>199</v>
      </c>
      <c r="DI6" s="18"/>
      <c r="DJ6" s="18"/>
      <c r="DK6" s="18"/>
      <c r="DL6" s="18">
        <v>114</v>
      </c>
      <c r="DM6" s="18">
        <v>159</v>
      </c>
      <c r="DN6" s="18">
        <v>149</v>
      </c>
      <c r="DO6" s="20">
        <v>224</v>
      </c>
      <c r="DP6" s="18">
        <v>165</v>
      </c>
      <c r="DQ6" s="18"/>
      <c r="DR6" s="18"/>
      <c r="DS6" s="18"/>
      <c r="DT6" s="18">
        <v>151</v>
      </c>
      <c r="DU6" s="18">
        <v>159</v>
      </c>
      <c r="DV6" s="18">
        <v>171</v>
      </c>
      <c r="DW6" s="20">
        <v>229</v>
      </c>
      <c r="DX6" s="18">
        <v>114</v>
      </c>
      <c r="DY6" s="18">
        <v>161</v>
      </c>
      <c r="DZ6" s="18">
        <v>137</v>
      </c>
      <c r="EA6" s="18">
        <v>121</v>
      </c>
      <c r="EB6" s="20">
        <v>202</v>
      </c>
      <c r="EC6" s="18">
        <v>151</v>
      </c>
      <c r="ED6" s="18">
        <v>150</v>
      </c>
      <c r="EE6" s="18">
        <v>165</v>
      </c>
      <c r="EF6" s="18">
        <v>164</v>
      </c>
      <c r="EG6" s="18"/>
      <c r="EH6" s="18"/>
      <c r="EI6" s="18"/>
      <c r="EJ6" s="18"/>
      <c r="EK6" s="18"/>
      <c r="EL6" s="18"/>
      <c r="EM6" s="18"/>
      <c r="EN6" s="18">
        <v>150</v>
      </c>
      <c r="EO6" s="18">
        <v>144</v>
      </c>
      <c r="EP6" s="18">
        <v>179</v>
      </c>
      <c r="EQ6" s="18">
        <v>95</v>
      </c>
      <c r="ER6" s="18">
        <v>186</v>
      </c>
      <c r="ES6" s="18">
        <v>169</v>
      </c>
      <c r="ET6" s="18">
        <v>149</v>
      </c>
      <c r="EU6" s="18">
        <v>145</v>
      </c>
      <c r="EV6" s="18">
        <v>146</v>
      </c>
      <c r="EW6" s="20">
        <v>204</v>
      </c>
      <c r="EX6" s="18">
        <v>135</v>
      </c>
      <c r="EY6" s="18"/>
      <c r="EZ6" s="18"/>
      <c r="FA6" s="18">
        <v>126</v>
      </c>
      <c r="FB6" s="18">
        <v>146</v>
      </c>
      <c r="FC6" s="18">
        <v>145</v>
      </c>
      <c r="FD6" s="18">
        <v>176</v>
      </c>
      <c r="FE6" s="18">
        <v>158</v>
      </c>
      <c r="FF6" s="18">
        <v>166</v>
      </c>
      <c r="FG6" s="18">
        <v>103</v>
      </c>
      <c r="FH6" s="18">
        <v>177</v>
      </c>
      <c r="FI6" s="18">
        <v>164</v>
      </c>
      <c r="FJ6" s="18">
        <v>139</v>
      </c>
      <c r="FK6" s="18">
        <v>163</v>
      </c>
      <c r="FL6" s="18">
        <v>147</v>
      </c>
      <c r="FM6" s="18"/>
      <c r="FN6" s="18"/>
      <c r="FO6" s="18"/>
      <c r="FP6" s="18"/>
      <c r="FQ6" s="18"/>
      <c r="FR6" s="18"/>
      <c r="FS6" s="18"/>
      <c r="FT6" s="18">
        <v>138</v>
      </c>
      <c r="FU6" s="18">
        <v>115</v>
      </c>
      <c r="FV6" s="18">
        <v>152</v>
      </c>
      <c r="FW6" s="18">
        <v>114</v>
      </c>
      <c r="FX6" s="18">
        <v>148</v>
      </c>
      <c r="FY6" s="18">
        <v>134</v>
      </c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>
        <v>147</v>
      </c>
      <c r="GU6" s="18">
        <v>151</v>
      </c>
      <c r="GV6" s="18">
        <v>171</v>
      </c>
      <c r="GW6" s="18">
        <v>149</v>
      </c>
      <c r="GX6" s="18">
        <v>119</v>
      </c>
      <c r="GY6" s="18">
        <v>134</v>
      </c>
      <c r="GZ6" s="18">
        <v>188</v>
      </c>
      <c r="HA6" s="18">
        <v>170</v>
      </c>
      <c r="HB6" s="20">
        <v>214</v>
      </c>
      <c r="HC6" s="18">
        <v>167</v>
      </c>
      <c r="HD6" s="18">
        <v>189</v>
      </c>
      <c r="HE6" s="18"/>
      <c r="HF6" s="18"/>
      <c r="HG6" s="18"/>
      <c r="HH6" s="18">
        <v>150</v>
      </c>
      <c r="HI6" s="18">
        <v>150</v>
      </c>
      <c r="HJ6" s="18">
        <v>142</v>
      </c>
      <c r="HK6" s="18">
        <v>165</v>
      </c>
      <c r="HL6" s="18">
        <v>120</v>
      </c>
      <c r="HM6" s="18">
        <v>158</v>
      </c>
      <c r="HN6" s="18"/>
      <c r="HO6" s="18"/>
      <c r="HP6" s="18"/>
      <c r="HQ6" s="18"/>
      <c r="HR6" s="18"/>
      <c r="HS6" s="18">
        <v>180</v>
      </c>
      <c r="HT6" s="18">
        <v>129</v>
      </c>
      <c r="HU6" s="18">
        <v>170</v>
      </c>
      <c r="HV6" s="18">
        <v>154</v>
      </c>
      <c r="HW6" s="18">
        <v>139</v>
      </c>
      <c r="HX6" s="18">
        <v>172</v>
      </c>
      <c r="HY6" s="20">
        <v>205</v>
      </c>
      <c r="HZ6" s="18">
        <v>151</v>
      </c>
      <c r="IA6" s="18">
        <v>169</v>
      </c>
      <c r="IB6" s="18">
        <v>136</v>
      </c>
      <c r="IC6" s="18">
        <v>147</v>
      </c>
      <c r="ID6" s="18">
        <v>144</v>
      </c>
      <c r="IE6" s="18">
        <v>126</v>
      </c>
      <c r="IF6" s="18">
        <v>167</v>
      </c>
      <c r="IG6" s="18">
        <v>160</v>
      </c>
      <c r="IH6" s="20">
        <v>210</v>
      </c>
      <c r="II6" s="18">
        <v>134</v>
      </c>
      <c r="IJ6" s="18">
        <v>166</v>
      </c>
      <c r="IK6" s="18">
        <v>144</v>
      </c>
      <c r="IL6" s="18">
        <v>144</v>
      </c>
      <c r="IM6" s="18">
        <v>168</v>
      </c>
      <c r="IN6" s="18"/>
      <c r="IO6" s="18"/>
      <c r="IP6" s="18"/>
      <c r="IQ6" s="18"/>
      <c r="IR6" s="18"/>
      <c r="IS6" s="18"/>
      <c r="IT6" s="18"/>
      <c r="IU6" s="18">
        <v>173</v>
      </c>
      <c r="IV6" s="18">
        <v>146</v>
      </c>
      <c r="IW6" s="18">
        <v>165</v>
      </c>
      <c r="IX6" s="18"/>
      <c r="IY6" s="18"/>
      <c r="IZ6" s="18"/>
      <c r="JA6" s="18">
        <v>164</v>
      </c>
      <c r="JB6" s="18">
        <v>140</v>
      </c>
      <c r="JC6" s="18">
        <v>159</v>
      </c>
      <c r="JD6" s="18"/>
      <c r="JE6" s="18"/>
      <c r="JF6" s="18"/>
      <c r="JG6" s="18">
        <v>151</v>
      </c>
      <c r="JH6" s="18">
        <v>182</v>
      </c>
      <c r="JI6" s="20">
        <v>200</v>
      </c>
      <c r="JJ6" s="18">
        <v>125</v>
      </c>
      <c r="JK6" s="18">
        <v>137</v>
      </c>
      <c r="JL6" s="18">
        <v>143</v>
      </c>
      <c r="JM6" s="18">
        <v>161</v>
      </c>
      <c r="JN6" s="18">
        <v>176</v>
      </c>
      <c r="JO6" s="20">
        <v>217</v>
      </c>
      <c r="JP6" s="18">
        <v>147</v>
      </c>
      <c r="JQ6" s="18">
        <v>154</v>
      </c>
      <c r="JR6" s="18">
        <v>178</v>
      </c>
      <c r="JS6" s="13"/>
      <c r="JT6" s="13"/>
      <c r="JU6" s="13"/>
      <c r="JV6" s="13">
        <v>132</v>
      </c>
      <c r="JW6" s="13">
        <v>181</v>
      </c>
      <c r="JX6" s="13">
        <v>167</v>
      </c>
      <c r="JY6" s="13">
        <v>118</v>
      </c>
      <c r="JZ6" s="13">
        <v>111</v>
      </c>
      <c r="KA6" s="13">
        <v>197</v>
      </c>
      <c r="KB6" s="13"/>
      <c r="KC6" s="36">
        <f t="shared" si="1"/>
        <v>523</v>
      </c>
      <c r="KD6" s="10">
        <f t="shared" si="2"/>
        <v>164.33333333333334</v>
      </c>
      <c r="KE6" s="10">
        <f>IFERROR(SUM(A6:$AG6)/COUNTIF(A6:$AG6, "&gt;0"),0)</f>
        <v>175.04761904761904</v>
      </c>
      <c r="KF6" s="10">
        <f t="shared" si="0"/>
        <v>161.90374331550802</v>
      </c>
    </row>
    <row r="7" spans="1:293">
      <c r="A7" s="11" t="s">
        <v>12</v>
      </c>
      <c r="B7" s="11"/>
      <c r="C7" s="11">
        <v>115</v>
      </c>
      <c r="D7" s="11">
        <v>118</v>
      </c>
      <c r="E7" s="11">
        <v>138</v>
      </c>
      <c r="F7" s="11">
        <v>141</v>
      </c>
      <c r="G7" s="11">
        <v>121</v>
      </c>
      <c r="H7" s="11">
        <v>192</v>
      </c>
      <c r="I7" s="11">
        <v>137</v>
      </c>
      <c r="J7" s="11">
        <v>140</v>
      </c>
      <c r="K7" s="11">
        <v>122</v>
      </c>
      <c r="L7" s="11">
        <v>141</v>
      </c>
      <c r="M7" s="11">
        <v>137</v>
      </c>
      <c r="N7" s="11">
        <v>155</v>
      </c>
      <c r="O7" s="11">
        <v>121</v>
      </c>
      <c r="P7" s="11">
        <v>120</v>
      </c>
      <c r="Q7" s="11">
        <v>143</v>
      </c>
      <c r="R7" s="11">
        <v>106</v>
      </c>
      <c r="S7" s="11">
        <v>121</v>
      </c>
      <c r="T7" s="11">
        <v>150</v>
      </c>
      <c r="U7" s="11">
        <v>145</v>
      </c>
      <c r="V7" s="11">
        <v>163</v>
      </c>
      <c r="W7" s="11">
        <v>170</v>
      </c>
      <c r="X7" s="14">
        <v>141</v>
      </c>
      <c r="Y7" s="14">
        <v>133</v>
      </c>
      <c r="Z7" s="14">
        <v>157</v>
      </c>
      <c r="AA7" s="14">
        <v>144</v>
      </c>
      <c r="AB7" s="14">
        <v>127</v>
      </c>
      <c r="AC7" s="14">
        <v>122</v>
      </c>
      <c r="AD7" s="14"/>
      <c r="AE7" s="14"/>
      <c r="AF7" s="14"/>
      <c r="AG7" s="14"/>
      <c r="AH7" s="14"/>
      <c r="AI7" s="14"/>
      <c r="AJ7" s="14"/>
      <c r="AK7" s="14">
        <v>113</v>
      </c>
      <c r="AL7" s="14">
        <v>148</v>
      </c>
      <c r="AM7" s="14">
        <v>157</v>
      </c>
      <c r="AN7" s="14">
        <v>181</v>
      </c>
      <c r="AO7" s="14">
        <v>142</v>
      </c>
      <c r="AP7" s="14">
        <v>167</v>
      </c>
      <c r="AQ7" s="14">
        <v>178</v>
      </c>
      <c r="AR7" s="14">
        <v>158</v>
      </c>
      <c r="AS7" s="14">
        <v>151</v>
      </c>
      <c r="AT7" s="14">
        <v>117</v>
      </c>
      <c r="AU7" s="14">
        <v>100</v>
      </c>
      <c r="AV7" s="14">
        <v>81</v>
      </c>
      <c r="AW7" s="14">
        <v>151</v>
      </c>
      <c r="AX7" s="14">
        <v>99</v>
      </c>
      <c r="AY7" s="14">
        <v>139</v>
      </c>
      <c r="AZ7" s="14">
        <v>84</v>
      </c>
      <c r="BA7" s="14">
        <v>107</v>
      </c>
      <c r="BB7" s="14">
        <v>143</v>
      </c>
      <c r="BC7" s="28">
        <v>128</v>
      </c>
      <c r="BD7" s="28">
        <v>157</v>
      </c>
      <c r="BE7" s="28">
        <v>163</v>
      </c>
      <c r="BF7" s="14">
        <v>115</v>
      </c>
      <c r="BG7" s="14">
        <v>132</v>
      </c>
      <c r="BH7" s="14">
        <v>129</v>
      </c>
      <c r="BI7" s="14">
        <v>156</v>
      </c>
      <c r="BJ7" s="14">
        <v>135</v>
      </c>
      <c r="BK7" s="14">
        <v>148</v>
      </c>
      <c r="BL7" s="14"/>
      <c r="BM7" s="14"/>
      <c r="BN7" s="14"/>
      <c r="BO7" s="18">
        <v>147</v>
      </c>
      <c r="BP7" s="18">
        <v>131</v>
      </c>
      <c r="BQ7" s="18">
        <v>93</v>
      </c>
      <c r="BR7" s="14">
        <v>114</v>
      </c>
      <c r="BS7" s="14">
        <v>127</v>
      </c>
      <c r="BT7" s="14">
        <v>161</v>
      </c>
      <c r="BU7" s="14">
        <v>116</v>
      </c>
      <c r="BV7" s="14">
        <v>135</v>
      </c>
      <c r="BW7" s="14">
        <v>134</v>
      </c>
      <c r="BX7" s="14">
        <v>140</v>
      </c>
      <c r="BY7" s="14">
        <v>131</v>
      </c>
      <c r="BZ7" s="14">
        <v>118</v>
      </c>
      <c r="CA7" s="14">
        <v>149</v>
      </c>
      <c r="CB7" s="14">
        <v>117</v>
      </c>
      <c r="CC7" s="14">
        <v>143</v>
      </c>
      <c r="CD7" s="26">
        <v>203</v>
      </c>
      <c r="CE7" s="14">
        <v>129</v>
      </c>
      <c r="CF7" s="14">
        <v>133</v>
      </c>
      <c r="CG7" s="14">
        <v>100</v>
      </c>
      <c r="CH7" s="14">
        <v>123</v>
      </c>
      <c r="CI7" s="14">
        <v>144</v>
      </c>
      <c r="CJ7" s="14">
        <v>145</v>
      </c>
      <c r="CK7" s="14">
        <v>171</v>
      </c>
      <c r="CL7" s="14">
        <v>158</v>
      </c>
      <c r="CM7" s="14">
        <v>145</v>
      </c>
      <c r="CN7" s="14">
        <v>169</v>
      </c>
      <c r="CO7" s="14">
        <v>137</v>
      </c>
      <c r="CP7" s="14">
        <v>116</v>
      </c>
      <c r="CQ7" s="14">
        <v>130</v>
      </c>
      <c r="CR7" s="14">
        <v>156</v>
      </c>
      <c r="CS7" s="14">
        <v>107</v>
      </c>
      <c r="CT7" s="14">
        <v>134</v>
      </c>
      <c r="CU7" s="14">
        <v>188</v>
      </c>
      <c r="CV7" s="14">
        <v>125</v>
      </c>
      <c r="CW7" s="14">
        <v>91</v>
      </c>
      <c r="CX7" s="14">
        <v>108</v>
      </c>
      <c r="CY7" s="14">
        <v>134</v>
      </c>
      <c r="CZ7" s="14">
        <v>158</v>
      </c>
      <c r="DA7" s="14">
        <v>140</v>
      </c>
      <c r="DB7" s="14">
        <v>140</v>
      </c>
      <c r="DC7" s="14">
        <v>135</v>
      </c>
      <c r="DD7" s="14">
        <v>135</v>
      </c>
      <c r="DE7" s="14"/>
      <c r="DF7" s="14"/>
      <c r="DG7" s="14">
        <v>137</v>
      </c>
      <c r="DH7" s="14">
        <v>158</v>
      </c>
      <c r="DI7" s="14"/>
      <c r="DJ7" s="14"/>
      <c r="DK7" s="14"/>
      <c r="DL7" s="14">
        <v>105</v>
      </c>
      <c r="DM7" s="14">
        <v>105</v>
      </c>
      <c r="DN7" s="14"/>
      <c r="DO7" s="14">
        <v>104</v>
      </c>
      <c r="DP7" s="14">
        <v>129</v>
      </c>
      <c r="DQ7" s="14">
        <v>128</v>
      </c>
      <c r="DR7" s="14">
        <v>160</v>
      </c>
      <c r="DS7" s="14">
        <v>145</v>
      </c>
      <c r="DT7" s="14">
        <v>148</v>
      </c>
      <c r="DU7" s="14">
        <v>126</v>
      </c>
      <c r="DV7" s="14">
        <v>97</v>
      </c>
      <c r="DW7" s="14">
        <v>122</v>
      </c>
      <c r="DX7" s="14">
        <v>123</v>
      </c>
      <c r="DY7" s="14">
        <v>140</v>
      </c>
      <c r="DZ7" s="14">
        <v>106</v>
      </c>
      <c r="EA7" s="14">
        <v>182</v>
      </c>
      <c r="EB7" s="14">
        <v>127</v>
      </c>
      <c r="EC7" s="14">
        <v>146</v>
      </c>
      <c r="ED7" s="14">
        <v>128</v>
      </c>
      <c r="EE7" s="14">
        <v>115</v>
      </c>
      <c r="EF7" s="14"/>
      <c r="EG7" s="14"/>
      <c r="EH7" s="14"/>
      <c r="EI7" s="14"/>
      <c r="EJ7" s="14"/>
      <c r="EK7" s="14"/>
      <c r="EL7" s="14">
        <v>88</v>
      </c>
      <c r="EM7" s="14">
        <v>124</v>
      </c>
      <c r="EN7" s="14">
        <v>122</v>
      </c>
      <c r="EO7" s="14">
        <v>118</v>
      </c>
      <c r="EP7" s="14">
        <v>114</v>
      </c>
      <c r="EQ7" s="14">
        <v>116</v>
      </c>
      <c r="ER7" s="14">
        <v>109</v>
      </c>
      <c r="ES7" s="14">
        <v>107</v>
      </c>
      <c r="ET7" s="14">
        <v>93</v>
      </c>
      <c r="EU7" s="14"/>
      <c r="EV7" s="14">
        <v>118</v>
      </c>
      <c r="EW7" s="14">
        <v>112</v>
      </c>
      <c r="EX7" s="14">
        <v>138</v>
      </c>
      <c r="EY7" s="14"/>
      <c r="EZ7" s="14"/>
      <c r="FA7" s="14">
        <v>97</v>
      </c>
      <c r="FB7" s="14">
        <v>112</v>
      </c>
      <c r="FC7" s="14">
        <v>97</v>
      </c>
      <c r="FD7" s="14">
        <v>111</v>
      </c>
      <c r="FE7" s="14">
        <v>83</v>
      </c>
      <c r="FF7" s="14">
        <v>104</v>
      </c>
      <c r="FG7" s="14"/>
      <c r="FH7" s="14"/>
      <c r="FI7" s="14"/>
      <c r="FJ7" s="14"/>
      <c r="FK7" s="14"/>
      <c r="FL7" s="14"/>
      <c r="FM7" s="14"/>
      <c r="FN7" s="14"/>
      <c r="FO7" s="14"/>
      <c r="FP7" s="14">
        <v>111</v>
      </c>
      <c r="FQ7" s="14">
        <v>112</v>
      </c>
      <c r="FR7" s="14">
        <v>68</v>
      </c>
      <c r="FS7" s="14">
        <v>95</v>
      </c>
      <c r="FT7" s="14">
        <v>101</v>
      </c>
      <c r="FU7" s="14">
        <v>107</v>
      </c>
      <c r="FV7" s="14">
        <v>113</v>
      </c>
      <c r="FW7" s="14">
        <v>116</v>
      </c>
      <c r="FX7" s="14">
        <v>105</v>
      </c>
      <c r="FY7" s="14">
        <v>110</v>
      </c>
      <c r="FZ7" s="14">
        <v>78</v>
      </c>
      <c r="GA7" s="14">
        <v>86</v>
      </c>
      <c r="GB7" s="14">
        <v>106</v>
      </c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36">
        <f t="shared" si="1"/>
        <v>454</v>
      </c>
      <c r="KD7" s="10">
        <f t="shared" si="2"/>
        <v>123.66666666666667</v>
      </c>
      <c r="KE7" s="10">
        <f>IFERROR(SUM(A7:$AG7)/COUNTIF(A7:$AG7, "&gt;0"),0)</f>
        <v>137.77777777777777</v>
      </c>
      <c r="KF7" s="10">
        <f t="shared" si="0"/>
        <v>129.12837837837839</v>
      </c>
    </row>
    <row r="8" spans="1:293" ht="16.5" hidden="1" customHeight="1">
      <c r="A8" s="8" t="s">
        <v>25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>
        <v>124</v>
      </c>
      <c r="AR8" s="18">
        <v>107</v>
      </c>
      <c r="AS8" s="18">
        <v>109</v>
      </c>
      <c r="AT8" s="18"/>
      <c r="AU8" s="18">
        <v>81</v>
      </c>
      <c r="AV8" s="18"/>
      <c r="AW8" s="18">
        <v>90</v>
      </c>
      <c r="AX8" s="18">
        <v>170</v>
      </c>
      <c r="AY8" s="18">
        <v>126</v>
      </c>
      <c r="AZ8" s="18">
        <v>87</v>
      </c>
      <c r="BA8" s="18">
        <v>91</v>
      </c>
      <c r="BB8" s="18"/>
      <c r="BC8" s="28">
        <v>125</v>
      </c>
      <c r="BD8" s="28">
        <v>113</v>
      </c>
      <c r="BE8" s="28">
        <v>74</v>
      </c>
      <c r="BF8" s="18">
        <v>92</v>
      </c>
      <c r="BG8" s="18">
        <v>108</v>
      </c>
      <c r="BH8" s="18">
        <v>99</v>
      </c>
      <c r="BI8" s="18">
        <v>77</v>
      </c>
      <c r="BJ8" s="18">
        <v>88</v>
      </c>
      <c r="BK8" s="18">
        <v>87</v>
      </c>
      <c r="BL8" s="18"/>
      <c r="BM8" s="18"/>
      <c r="BN8" s="18"/>
      <c r="BO8" s="18">
        <v>80</v>
      </c>
      <c r="BP8" s="18">
        <v>99</v>
      </c>
      <c r="BQ8" s="18">
        <v>94</v>
      </c>
      <c r="BR8" s="18"/>
      <c r="BS8" s="18">
        <v>110</v>
      </c>
      <c r="BT8" s="18">
        <v>124</v>
      </c>
      <c r="BU8" s="18">
        <v>87</v>
      </c>
      <c r="BV8" s="18">
        <v>74</v>
      </c>
      <c r="BW8" s="18">
        <v>114</v>
      </c>
      <c r="BX8" s="18">
        <v>80</v>
      </c>
      <c r="BY8" s="18">
        <v>97</v>
      </c>
      <c r="BZ8" s="18">
        <v>82</v>
      </c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20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36">
        <f t="shared" si="1"/>
        <v>0</v>
      </c>
      <c r="KD8" s="10">
        <f t="shared" si="2"/>
        <v>0</v>
      </c>
      <c r="KE8" s="10">
        <f>IFERROR(SUM(A8:$AG8)/COUNTIF(A8:$AG8, "&gt;0"),0)</f>
        <v>0</v>
      </c>
      <c r="KF8" s="10">
        <f t="shared" si="0"/>
        <v>99.620689655172413</v>
      </c>
    </row>
    <row r="9" spans="1:293">
      <c r="A9" s="8" t="s">
        <v>42</v>
      </c>
      <c r="B9" s="8"/>
      <c r="C9" s="8">
        <v>115</v>
      </c>
      <c r="D9" s="8">
        <v>108</v>
      </c>
      <c r="E9" s="8">
        <v>89</v>
      </c>
      <c r="F9" s="8"/>
      <c r="G9" s="8"/>
      <c r="H9" s="8"/>
      <c r="I9" s="8">
        <v>94</v>
      </c>
      <c r="J9" s="8">
        <v>78</v>
      </c>
      <c r="K9" s="8">
        <v>68</v>
      </c>
      <c r="L9" s="8"/>
      <c r="M9" s="8"/>
      <c r="N9" s="8"/>
      <c r="O9" s="8"/>
      <c r="P9" s="8"/>
      <c r="Q9" s="8"/>
      <c r="R9" s="8">
        <v>78</v>
      </c>
      <c r="S9" s="8">
        <v>94</v>
      </c>
      <c r="T9" s="8">
        <v>98</v>
      </c>
      <c r="U9" s="8"/>
      <c r="V9" s="8"/>
      <c r="W9" s="8"/>
      <c r="X9" s="18"/>
      <c r="Y9" s="18"/>
      <c r="Z9" s="18"/>
      <c r="AA9" s="18">
        <v>66</v>
      </c>
      <c r="AB9" s="18">
        <v>86</v>
      </c>
      <c r="AC9" s="18">
        <v>110</v>
      </c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>
        <v>101</v>
      </c>
      <c r="AO9" s="18">
        <v>82</v>
      </c>
      <c r="AP9" s="18">
        <v>84</v>
      </c>
      <c r="AQ9" s="18"/>
      <c r="AR9" s="18"/>
      <c r="AS9" s="18"/>
      <c r="AT9" s="18">
        <v>76</v>
      </c>
      <c r="AU9" s="18">
        <v>108</v>
      </c>
      <c r="AV9" s="18">
        <v>85</v>
      </c>
      <c r="AW9" s="18">
        <v>59</v>
      </c>
      <c r="AX9" s="18">
        <v>108</v>
      </c>
      <c r="AY9" s="18">
        <v>110</v>
      </c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>
        <v>98</v>
      </c>
      <c r="BM9" s="18">
        <v>75</v>
      </c>
      <c r="BN9" s="18">
        <v>55</v>
      </c>
      <c r="BO9" s="18">
        <v>77</v>
      </c>
      <c r="BP9" s="18">
        <v>76</v>
      </c>
      <c r="BQ9" s="18">
        <v>98</v>
      </c>
      <c r="BR9" s="18">
        <v>81</v>
      </c>
      <c r="BS9" s="18">
        <v>92</v>
      </c>
      <c r="BT9" s="18">
        <v>107</v>
      </c>
      <c r="BU9" s="18"/>
      <c r="BV9" s="18">
        <v>87</v>
      </c>
      <c r="BW9" s="18">
        <v>59</v>
      </c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20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36">
        <f t="shared" si="1"/>
        <v>0</v>
      </c>
      <c r="KD9" s="10">
        <f t="shared" si="2"/>
        <v>104</v>
      </c>
      <c r="KE9" s="10">
        <f>IFERROR(SUM(A9:$AG9)/COUNTIF(A9:$AG9, "&gt;0"),0)</f>
        <v>90.333333333333329</v>
      </c>
      <c r="KF9" s="10">
        <f t="shared" si="0"/>
        <v>87.5625</v>
      </c>
    </row>
    <row r="10" spans="1:293">
      <c r="A10" s="8" t="s">
        <v>17</v>
      </c>
      <c r="B10" s="8"/>
      <c r="C10" s="8"/>
      <c r="D10" s="8"/>
      <c r="E10" s="8"/>
      <c r="F10" s="8">
        <v>148</v>
      </c>
      <c r="G10" s="8">
        <v>135</v>
      </c>
      <c r="H10" s="8">
        <v>129</v>
      </c>
      <c r="I10" s="8">
        <v>148</v>
      </c>
      <c r="J10" s="8">
        <v>124</v>
      </c>
      <c r="K10" s="8">
        <v>201</v>
      </c>
      <c r="L10" s="8">
        <v>129</v>
      </c>
      <c r="M10" s="8">
        <v>143</v>
      </c>
      <c r="N10" s="8">
        <v>191</v>
      </c>
      <c r="O10" s="8">
        <v>139</v>
      </c>
      <c r="P10" s="8">
        <v>114</v>
      </c>
      <c r="Q10" s="8">
        <v>165</v>
      </c>
      <c r="R10" s="8">
        <v>173</v>
      </c>
      <c r="S10" s="8">
        <v>198</v>
      </c>
      <c r="T10" s="8">
        <v>163</v>
      </c>
      <c r="U10" s="8">
        <v>121</v>
      </c>
      <c r="V10" s="8">
        <v>174</v>
      </c>
      <c r="W10" s="8">
        <v>172</v>
      </c>
      <c r="X10" s="18"/>
      <c r="Y10" s="18"/>
      <c r="Z10" s="18"/>
      <c r="AA10" s="18"/>
      <c r="AB10" s="18"/>
      <c r="AC10" s="18"/>
      <c r="AD10" s="18">
        <v>134</v>
      </c>
      <c r="AE10" s="18">
        <v>141</v>
      </c>
      <c r="AF10" s="18">
        <v>182</v>
      </c>
      <c r="AG10" s="18"/>
      <c r="AH10" s="18">
        <v>102</v>
      </c>
      <c r="AI10" s="18">
        <v>92</v>
      </c>
      <c r="AJ10" s="18">
        <v>121</v>
      </c>
      <c r="AK10" s="18">
        <v>162</v>
      </c>
      <c r="AL10" s="18">
        <v>153</v>
      </c>
      <c r="AM10" s="18">
        <v>127</v>
      </c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>
        <v>140</v>
      </c>
      <c r="BP10" s="18">
        <v>198</v>
      </c>
      <c r="BQ10" s="18">
        <v>106</v>
      </c>
      <c r="BR10" s="18">
        <v>149</v>
      </c>
      <c r="BS10" s="18">
        <v>155</v>
      </c>
      <c r="BT10" s="18">
        <v>147</v>
      </c>
      <c r="BU10" s="18">
        <v>131</v>
      </c>
      <c r="BV10" s="18">
        <v>157</v>
      </c>
      <c r="BW10" s="18">
        <v>122</v>
      </c>
      <c r="BX10" s="18">
        <v>133</v>
      </c>
      <c r="BY10" s="18">
        <v>183</v>
      </c>
      <c r="BZ10" s="18">
        <v>157</v>
      </c>
      <c r="CA10" s="18">
        <v>140</v>
      </c>
      <c r="CB10" s="18">
        <v>168</v>
      </c>
      <c r="CC10" s="18">
        <v>197</v>
      </c>
      <c r="CD10" s="18"/>
      <c r="CE10" s="18">
        <v>152</v>
      </c>
      <c r="CF10" s="18">
        <v>149</v>
      </c>
      <c r="CG10" s="18">
        <v>140</v>
      </c>
      <c r="CH10" s="18">
        <v>113</v>
      </c>
      <c r="CI10" s="18">
        <v>181</v>
      </c>
      <c r="CJ10" s="18">
        <v>123</v>
      </c>
      <c r="CK10" s="19">
        <v>202</v>
      </c>
      <c r="CL10" s="18">
        <v>167</v>
      </c>
      <c r="CM10" s="18">
        <v>153</v>
      </c>
      <c r="CN10" s="18">
        <v>150</v>
      </c>
      <c r="CO10" s="18">
        <v>145</v>
      </c>
      <c r="CP10" s="18"/>
      <c r="CQ10" s="18"/>
      <c r="CR10" s="18"/>
      <c r="CS10" s="18">
        <v>151</v>
      </c>
      <c r="CT10" s="18">
        <v>125</v>
      </c>
      <c r="CU10" s="18">
        <v>139</v>
      </c>
      <c r="CV10" s="18">
        <v>101</v>
      </c>
      <c r="CW10" s="18">
        <v>147</v>
      </c>
      <c r="CX10" s="18">
        <v>117</v>
      </c>
      <c r="CY10" s="18">
        <v>182</v>
      </c>
      <c r="CZ10" s="18">
        <v>151</v>
      </c>
      <c r="DA10" s="18">
        <v>162</v>
      </c>
      <c r="DB10" s="18"/>
      <c r="DC10" s="18"/>
      <c r="DD10" s="18"/>
      <c r="DE10" s="18"/>
      <c r="DF10" s="18">
        <v>180</v>
      </c>
      <c r="DG10" s="18">
        <v>184</v>
      </c>
      <c r="DH10" s="18">
        <v>129</v>
      </c>
      <c r="DI10" s="18">
        <v>139</v>
      </c>
      <c r="DJ10" s="18">
        <v>162</v>
      </c>
      <c r="DK10" s="18">
        <v>163</v>
      </c>
      <c r="DL10" s="18">
        <v>179</v>
      </c>
      <c r="DM10" s="18">
        <v>170</v>
      </c>
      <c r="DN10" s="18"/>
      <c r="DO10" s="18"/>
      <c r="DP10" s="18"/>
      <c r="DQ10" s="18">
        <v>180</v>
      </c>
      <c r="DR10" s="18">
        <v>126</v>
      </c>
      <c r="DS10" s="18">
        <v>154</v>
      </c>
      <c r="DT10" s="18">
        <v>136</v>
      </c>
      <c r="DU10" s="18">
        <v>174</v>
      </c>
      <c r="DV10" s="18">
        <v>109</v>
      </c>
      <c r="DW10" s="20">
        <v>203</v>
      </c>
      <c r="DX10" s="18">
        <v>193</v>
      </c>
      <c r="DY10" s="18">
        <v>155</v>
      </c>
      <c r="DZ10" s="18">
        <v>138</v>
      </c>
      <c r="EA10" s="18">
        <v>157</v>
      </c>
      <c r="EB10" s="18">
        <v>139</v>
      </c>
      <c r="EC10" s="18">
        <v>115</v>
      </c>
      <c r="ED10" s="18">
        <v>151</v>
      </c>
      <c r="EE10" s="18">
        <v>159</v>
      </c>
      <c r="EF10" s="18">
        <v>158</v>
      </c>
      <c r="EG10" s="18"/>
      <c r="EH10" s="18"/>
      <c r="EI10" s="18"/>
      <c r="EJ10" s="18"/>
      <c r="EK10" s="18"/>
      <c r="EL10" s="18">
        <v>142</v>
      </c>
      <c r="EM10" s="18">
        <v>169</v>
      </c>
      <c r="EN10" s="18">
        <v>82</v>
      </c>
      <c r="EO10" s="18">
        <v>148</v>
      </c>
      <c r="EP10" s="18">
        <v>146</v>
      </c>
      <c r="EQ10" s="18">
        <v>157</v>
      </c>
      <c r="ER10" s="18"/>
      <c r="ES10" s="18">
        <v>168</v>
      </c>
      <c r="ET10" s="18">
        <v>131</v>
      </c>
      <c r="EU10" s="18">
        <v>174</v>
      </c>
      <c r="EV10" s="18">
        <v>94</v>
      </c>
      <c r="EW10" s="18">
        <v>154</v>
      </c>
      <c r="EX10" s="18">
        <v>94</v>
      </c>
      <c r="EY10" s="18"/>
      <c r="EZ10" s="18"/>
      <c r="FA10" s="18">
        <v>179</v>
      </c>
      <c r="FB10" s="18">
        <v>172</v>
      </c>
      <c r="FC10" s="18">
        <v>135</v>
      </c>
      <c r="FD10" s="18">
        <v>160</v>
      </c>
      <c r="FE10" s="18">
        <v>117</v>
      </c>
      <c r="FF10" s="18">
        <v>155</v>
      </c>
      <c r="FG10" s="18">
        <v>136</v>
      </c>
      <c r="FH10" s="18">
        <v>128</v>
      </c>
      <c r="FI10" s="18">
        <v>143</v>
      </c>
      <c r="FJ10" s="18">
        <v>165</v>
      </c>
      <c r="FK10" s="18">
        <v>148</v>
      </c>
      <c r="FL10" s="18">
        <v>105</v>
      </c>
      <c r="FM10" s="18"/>
      <c r="FN10" s="18"/>
      <c r="FO10" s="18"/>
      <c r="FP10" s="18"/>
      <c r="FQ10" s="18"/>
      <c r="FR10" s="18"/>
      <c r="FS10" s="18"/>
      <c r="FT10" s="18">
        <v>114</v>
      </c>
      <c r="FU10" s="18">
        <v>189</v>
      </c>
      <c r="FV10" s="18">
        <v>123</v>
      </c>
      <c r="FW10" s="18">
        <v>189</v>
      </c>
      <c r="FX10" s="18">
        <v>134</v>
      </c>
      <c r="FY10" s="18">
        <v>136</v>
      </c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>
        <v>135</v>
      </c>
      <c r="GN10" s="18">
        <v>116</v>
      </c>
      <c r="GO10" s="18">
        <v>129</v>
      </c>
      <c r="GP10" s="18">
        <v>117</v>
      </c>
      <c r="GQ10" s="18"/>
      <c r="GR10" s="18">
        <v>101</v>
      </c>
      <c r="GS10" s="18">
        <v>105</v>
      </c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>
        <v>132</v>
      </c>
      <c r="HL10" s="18">
        <v>184</v>
      </c>
      <c r="HM10" s="18">
        <v>152</v>
      </c>
      <c r="HN10" s="18"/>
      <c r="HO10" s="18"/>
      <c r="HP10" s="18"/>
      <c r="HQ10" s="18"/>
      <c r="HR10" s="18"/>
      <c r="HS10" s="18"/>
      <c r="HT10" s="18"/>
      <c r="HU10" s="18"/>
      <c r="HV10" s="18"/>
      <c r="HW10" s="18">
        <v>120</v>
      </c>
      <c r="HX10" s="18">
        <v>173</v>
      </c>
      <c r="HY10" s="18">
        <v>117</v>
      </c>
      <c r="HZ10" s="18"/>
      <c r="IA10" s="18"/>
      <c r="IB10" s="18"/>
      <c r="IC10" s="18"/>
      <c r="ID10" s="18"/>
      <c r="IE10" s="18">
        <v>144</v>
      </c>
      <c r="IF10" s="18">
        <v>99</v>
      </c>
      <c r="IG10" s="18">
        <v>94</v>
      </c>
      <c r="IH10" s="18"/>
      <c r="II10" s="18"/>
      <c r="IJ10" s="18"/>
      <c r="IK10" s="18"/>
      <c r="IL10" s="18"/>
      <c r="IM10" s="18"/>
      <c r="IN10" s="18">
        <v>125</v>
      </c>
      <c r="IO10" s="18">
        <v>142</v>
      </c>
      <c r="IP10" s="18">
        <v>138</v>
      </c>
      <c r="IQ10" s="18"/>
      <c r="IR10" s="18">
        <v>107</v>
      </c>
      <c r="IS10" s="18">
        <v>137</v>
      </c>
      <c r="IT10" s="18">
        <v>140</v>
      </c>
      <c r="IU10" s="18"/>
      <c r="IV10" s="18"/>
      <c r="IW10" s="18"/>
      <c r="IX10" s="18">
        <v>97</v>
      </c>
      <c r="IY10" s="18">
        <v>91</v>
      </c>
      <c r="IZ10" s="18">
        <v>166</v>
      </c>
      <c r="JA10" s="18">
        <v>90</v>
      </c>
      <c r="JB10" s="18">
        <v>92</v>
      </c>
      <c r="JC10" s="18">
        <v>100</v>
      </c>
      <c r="JD10" s="18"/>
      <c r="JE10" s="18"/>
      <c r="JF10" s="18"/>
      <c r="JG10" s="18"/>
      <c r="JH10" s="18"/>
      <c r="JI10" s="20"/>
      <c r="JJ10" s="18"/>
      <c r="JK10" s="18"/>
      <c r="JL10" s="18"/>
      <c r="JM10" s="18"/>
      <c r="JN10" s="18"/>
      <c r="JO10" s="20"/>
      <c r="JP10" s="18"/>
      <c r="JQ10" s="18"/>
      <c r="JR10" s="18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36">
        <f t="shared" si="1"/>
        <v>412</v>
      </c>
      <c r="KD10" s="10">
        <f t="shared" si="2"/>
        <v>0</v>
      </c>
      <c r="KE10" s="10">
        <f>IFERROR(SUM(A10:$AG10)/COUNTIF(A10:$AG10, "&gt;0"),0)</f>
        <v>153.52380952380952</v>
      </c>
      <c r="KF10" s="10">
        <f t="shared" si="0"/>
        <v>144.03496503496504</v>
      </c>
    </row>
    <row r="11" spans="1:293">
      <c r="A11" s="8" t="s">
        <v>39</v>
      </c>
      <c r="B11" s="8"/>
      <c r="C11" s="8"/>
      <c r="D11" s="8"/>
      <c r="E11" s="8"/>
      <c r="F11" s="8">
        <v>138</v>
      </c>
      <c r="G11" s="8">
        <v>157</v>
      </c>
      <c r="H11" s="8">
        <v>102</v>
      </c>
      <c r="I11" s="8">
        <v>157</v>
      </c>
      <c r="J11" s="8">
        <v>117</v>
      </c>
      <c r="K11" s="8">
        <v>145</v>
      </c>
      <c r="L11" s="8"/>
      <c r="M11" s="8"/>
      <c r="N11" s="8"/>
      <c r="O11" s="8"/>
      <c r="P11" s="8"/>
      <c r="Q11" s="8"/>
      <c r="R11" s="8">
        <v>108</v>
      </c>
      <c r="S11" s="8">
        <v>157</v>
      </c>
      <c r="T11" s="8">
        <v>178</v>
      </c>
      <c r="U11" s="8"/>
      <c r="V11" s="8"/>
      <c r="W11" s="8"/>
      <c r="X11" s="18"/>
      <c r="Y11" s="18"/>
      <c r="Z11" s="18"/>
      <c r="AA11" s="18">
        <v>169</v>
      </c>
      <c r="AB11" s="18">
        <v>155</v>
      </c>
      <c r="AC11" s="18">
        <v>159</v>
      </c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>
        <v>170</v>
      </c>
      <c r="AO11" s="18">
        <v>131</v>
      </c>
      <c r="AP11" s="18">
        <v>114</v>
      </c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28">
        <v>182</v>
      </c>
      <c r="BD11" s="28">
        <v>174</v>
      </c>
      <c r="BE11" s="28">
        <v>144</v>
      </c>
      <c r="BF11" s="18"/>
      <c r="BG11" s="18"/>
      <c r="BH11" s="18"/>
      <c r="BI11" s="18">
        <v>154</v>
      </c>
      <c r="BJ11" s="18">
        <v>166</v>
      </c>
      <c r="BK11" s="18">
        <v>141</v>
      </c>
      <c r="BL11" s="18"/>
      <c r="BM11" s="18"/>
      <c r="BN11" s="18"/>
      <c r="BO11" s="18">
        <v>167</v>
      </c>
      <c r="BP11" s="18">
        <v>172</v>
      </c>
      <c r="BQ11" s="18">
        <v>150</v>
      </c>
      <c r="BR11" s="18">
        <v>104</v>
      </c>
      <c r="BS11" s="18">
        <v>121</v>
      </c>
      <c r="BT11" s="18">
        <v>130</v>
      </c>
      <c r="BU11" s="18"/>
      <c r="BV11" s="18">
        <v>125</v>
      </c>
      <c r="BW11" s="18">
        <v>159</v>
      </c>
      <c r="BX11" s="18">
        <v>79</v>
      </c>
      <c r="BY11" s="18">
        <v>151</v>
      </c>
      <c r="BZ11" s="18">
        <v>113</v>
      </c>
      <c r="CA11" s="18"/>
      <c r="CB11" s="18"/>
      <c r="CC11" s="18"/>
      <c r="CD11" s="18"/>
      <c r="CE11" s="18"/>
      <c r="CF11" s="18"/>
      <c r="CG11" s="18"/>
      <c r="CH11" s="18"/>
      <c r="CI11" s="18"/>
      <c r="CJ11" s="18">
        <v>140</v>
      </c>
      <c r="CK11" s="18">
        <v>165</v>
      </c>
      <c r="CL11" s="18">
        <v>165</v>
      </c>
      <c r="CM11" s="18">
        <v>161</v>
      </c>
      <c r="CN11" s="18">
        <v>138</v>
      </c>
      <c r="CO11" s="18">
        <v>130</v>
      </c>
      <c r="CP11" s="18"/>
      <c r="CQ11" s="18"/>
      <c r="CR11" s="18"/>
      <c r="CS11" s="18">
        <v>144</v>
      </c>
      <c r="CT11" s="18">
        <v>123</v>
      </c>
      <c r="CU11" s="18">
        <v>124</v>
      </c>
      <c r="CV11" s="18">
        <v>135</v>
      </c>
      <c r="CW11" s="18">
        <v>134</v>
      </c>
      <c r="CX11" s="18">
        <v>116</v>
      </c>
      <c r="CY11" s="18"/>
      <c r="CZ11" s="18"/>
      <c r="DA11" s="18"/>
      <c r="DB11" s="18">
        <v>143</v>
      </c>
      <c r="DC11" s="18">
        <v>125</v>
      </c>
      <c r="DD11" s="18">
        <v>146</v>
      </c>
      <c r="DE11" s="18"/>
      <c r="DF11" s="18"/>
      <c r="DG11" s="18"/>
      <c r="DH11" s="18"/>
      <c r="DI11" s="18"/>
      <c r="DJ11" s="18"/>
      <c r="DK11" s="18"/>
      <c r="DL11" s="18">
        <v>116</v>
      </c>
      <c r="DM11" s="18">
        <v>169</v>
      </c>
      <c r="DN11" s="18">
        <v>113</v>
      </c>
      <c r="DO11" s="18">
        <v>106</v>
      </c>
      <c r="DP11" s="18">
        <v>139</v>
      </c>
      <c r="DQ11" s="18">
        <v>142</v>
      </c>
      <c r="DR11" s="18">
        <v>144</v>
      </c>
      <c r="DS11" s="18">
        <v>126</v>
      </c>
      <c r="DT11" s="18">
        <v>98</v>
      </c>
      <c r="DU11" s="18">
        <v>194</v>
      </c>
      <c r="DV11" s="18">
        <v>122</v>
      </c>
      <c r="DW11" s="18">
        <v>179</v>
      </c>
      <c r="DX11" s="18">
        <v>126</v>
      </c>
      <c r="DY11" s="18">
        <v>161</v>
      </c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18"/>
      <c r="IV11" s="18"/>
      <c r="IW11" s="18"/>
      <c r="IX11" s="18"/>
      <c r="IY11" s="18"/>
      <c r="IZ11" s="18"/>
      <c r="JA11" s="18"/>
      <c r="JB11" s="18"/>
      <c r="JC11" s="18"/>
      <c r="JD11" s="18"/>
      <c r="JE11" s="18"/>
      <c r="JF11" s="18"/>
      <c r="JG11" s="18"/>
      <c r="JH11" s="18"/>
      <c r="JI11" s="18"/>
      <c r="JJ11" s="18"/>
      <c r="JK11" s="18"/>
      <c r="JL11" s="18"/>
      <c r="JM11" s="18"/>
      <c r="JN11" s="18"/>
      <c r="JO11" s="18"/>
      <c r="JP11" s="18"/>
      <c r="JQ11" s="18"/>
      <c r="JR11" s="18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36">
        <f t="shared" si="1"/>
        <v>397</v>
      </c>
      <c r="KD11" s="10">
        <f t="shared" si="2"/>
        <v>0</v>
      </c>
      <c r="KE11" s="10">
        <f>IFERROR(SUM(A11:$AG11)/COUNTIF(A11:$AG11, "&gt;0"),0)</f>
        <v>145.16666666666666</v>
      </c>
      <c r="KF11" s="10">
        <f t="shared" si="0"/>
        <v>141.19672131147541</v>
      </c>
    </row>
    <row r="12" spans="1:293">
      <c r="A12" s="8" t="s">
        <v>22</v>
      </c>
      <c r="B12" s="8"/>
      <c r="C12" s="8"/>
      <c r="D12" s="8"/>
      <c r="E12" s="8"/>
      <c r="F12" s="8">
        <v>109</v>
      </c>
      <c r="G12" s="8">
        <v>111</v>
      </c>
      <c r="H12" s="8">
        <v>126</v>
      </c>
      <c r="I12" s="8"/>
      <c r="J12" s="8"/>
      <c r="K12" s="8"/>
      <c r="L12" s="8">
        <v>110</v>
      </c>
      <c r="M12" s="8">
        <v>148</v>
      </c>
      <c r="N12" s="8">
        <v>157</v>
      </c>
      <c r="O12" s="8">
        <v>147</v>
      </c>
      <c r="P12" s="8">
        <v>117</v>
      </c>
      <c r="Q12" s="8">
        <v>139</v>
      </c>
      <c r="R12" s="8"/>
      <c r="S12" s="8"/>
      <c r="T12" s="8"/>
      <c r="U12" s="8"/>
      <c r="V12" s="8"/>
      <c r="W12" s="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>
        <v>169</v>
      </c>
      <c r="AR12" s="18">
        <v>170</v>
      </c>
      <c r="AS12" s="18">
        <v>168</v>
      </c>
      <c r="AT12" s="18"/>
      <c r="AU12" s="18">
        <v>148</v>
      </c>
      <c r="AV12" s="18"/>
      <c r="AW12" s="18"/>
      <c r="AX12" s="18"/>
      <c r="AY12" s="18"/>
      <c r="AZ12" s="18"/>
      <c r="BA12" s="18"/>
      <c r="BB12" s="18"/>
      <c r="BC12" s="28">
        <v>134</v>
      </c>
      <c r="BD12" s="28">
        <v>147</v>
      </c>
      <c r="BE12" s="28">
        <v>179</v>
      </c>
      <c r="BF12" s="18">
        <v>161</v>
      </c>
      <c r="BG12" s="18">
        <v>183</v>
      </c>
      <c r="BH12" s="18">
        <v>170</v>
      </c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>
        <v>170</v>
      </c>
      <c r="BT12" s="18">
        <v>166</v>
      </c>
      <c r="BU12" s="18"/>
      <c r="BV12" s="18"/>
      <c r="BW12" s="18"/>
      <c r="BX12" s="18">
        <v>130</v>
      </c>
      <c r="BY12" s="18">
        <v>149</v>
      </c>
      <c r="BZ12" s="18">
        <v>170</v>
      </c>
      <c r="CA12" s="18">
        <v>162</v>
      </c>
      <c r="CB12" s="18">
        <v>216</v>
      </c>
      <c r="CC12" s="18">
        <v>127</v>
      </c>
      <c r="CD12" s="18"/>
      <c r="CE12" s="18"/>
      <c r="CF12" s="18"/>
      <c r="CG12" s="18">
        <v>148</v>
      </c>
      <c r="CH12" s="18">
        <v>144</v>
      </c>
      <c r="CI12" s="18">
        <v>171</v>
      </c>
      <c r="CJ12" s="18">
        <v>170</v>
      </c>
      <c r="CK12" s="18">
        <v>110</v>
      </c>
      <c r="CL12" s="18">
        <v>173</v>
      </c>
      <c r="CM12" s="18"/>
      <c r="CN12" s="18"/>
      <c r="CO12" s="18"/>
      <c r="CP12" s="18">
        <v>151</v>
      </c>
      <c r="CQ12" s="18">
        <v>224</v>
      </c>
      <c r="CR12" s="18">
        <v>146</v>
      </c>
      <c r="CS12" s="18"/>
      <c r="CT12" s="18"/>
      <c r="CU12" s="18"/>
      <c r="CV12" s="18"/>
      <c r="CW12" s="18"/>
      <c r="CX12" s="18"/>
      <c r="CY12" s="18">
        <v>181</v>
      </c>
      <c r="CZ12" s="18">
        <v>167</v>
      </c>
      <c r="DA12" s="18">
        <v>152</v>
      </c>
      <c r="DB12" s="18">
        <v>128</v>
      </c>
      <c r="DC12" s="18">
        <v>136</v>
      </c>
      <c r="DD12" s="18">
        <v>156</v>
      </c>
      <c r="DE12" s="18">
        <v>191</v>
      </c>
      <c r="DF12" s="18">
        <v>140</v>
      </c>
      <c r="DG12" s="18">
        <v>159</v>
      </c>
      <c r="DH12" s="18">
        <v>117</v>
      </c>
      <c r="DI12" s="18"/>
      <c r="DJ12" s="18"/>
      <c r="DK12" s="18"/>
      <c r="DL12" s="18">
        <v>154</v>
      </c>
      <c r="DM12" s="18">
        <v>135</v>
      </c>
      <c r="DN12" s="18">
        <v>117</v>
      </c>
      <c r="DO12" s="18">
        <v>142</v>
      </c>
      <c r="DP12" s="18">
        <v>129</v>
      </c>
      <c r="DQ12" s="18"/>
      <c r="DR12" s="18"/>
      <c r="DS12" s="18"/>
      <c r="DT12" s="18"/>
      <c r="DU12" s="18"/>
      <c r="DV12" s="18"/>
      <c r="DW12" s="18">
        <v>111</v>
      </c>
      <c r="DX12" s="18">
        <v>180</v>
      </c>
      <c r="DY12" s="30">
        <v>256</v>
      </c>
      <c r="DZ12" s="18">
        <v>137</v>
      </c>
      <c r="EA12" s="18">
        <v>129</v>
      </c>
      <c r="EB12" s="18">
        <v>136</v>
      </c>
      <c r="EC12" s="18">
        <v>196</v>
      </c>
      <c r="ED12" s="20">
        <v>217</v>
      </c>
      <c r="EE12" s="18">
        <v>164</v>
      </c>
      <c r="EF12" s="18"/>
      <c r="EG12" s="18"/>
      <c r="EH12" s="18"/>
      <c r="EI12" s="18"/>
      <c r="EJ12" s="18"/>
      <c r="EK12" s="18"/>
      <c r="EL12" s="18">
        <v>155</v>
      </c>
      <c r="EM12" s="18">
        <v>126</v>
      </c>
      <c r="EN12" s="18">
        <v>159</v>
      </c>
      <c r="EO12" s="18">
        <v>187</v>
      </c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>
        <v>181</v>
      </c>
      <c r="FE12" s="18">
        <v>165</v>
      </c>
      <c r="FF12" s="18">
        <v>171</v>
      </c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>
        <v>175</v>
      </c>
      <c r="FU12" s="18">
        <v>141</v>
      </c>
      <c r="FV12" s="18">
        <v>116</v>
      </c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>
        <v>148</v>
      </c>
      <c r="GS12" s="18">
        <v>132</v>
      </c>
      <c r="GT12" s="18">
        <v>136</v>
      </c>
      <c r="GU12" s="18">
        <v>147</v>
      </c>
      <c r="GV12" s="20">
        <v>200</v>
      </c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>
        <v>129</v>
      </c>
      <c r="HI12" s="18">
        <v>169</v>
      </c>
      <c r="HJ12" s="18">
        <v>145</v>
      </c>
      <c r="HK12" s="18">
        <v>130</v>
      </c>
      <c r="HL12" s="18">
        <v>197</v>
      </c>
      <c r="HM12" s="18">
        <v>157</v>
      </c>
      <c r="HN12" s="18"/>
      <c r="HO12" s="18"/>
      <c r="HP12" s="18"/>
      <c r="HQ12" s="18"/>
      <c r="HR12" s="18"/>
      <c r="HS12" s="18"/>
      <c r="HT12" s="18"/>
      <c r="HU12" s="18"/>
      <c r="HV12" s="18"/>
      <c r="HW12" s="20">
        <v>214</v>
      </c>
      <c r="HX12" s="18">
        <v>124</v>
      </c>
      <c r="HY12" s="18">
        <v>140</v>
      </c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>
        <v>164</v>
      </c>
      <c r="IM12" s="20">
        <v>202</v>
      </c>
      <c r="IN12" s="18">
        <v>189</v>
      </c>
      <c r="IO12" s="18">
        <v>137</v>
      </c>
      <c r="IP12" s="18">
        <v>148</v>
      </c>
      <c r="IQ12" s="18">
        <v>180</v>
      </c>
      <c r="IR12" s="18"/>
      <c r="IS12" s="18"/>
      <c r="IT12" s="18"/>
      <c r="IU12" s="18"/>
      <c r="IV12" s="18"/>
      <c r="IW12" s="18"/>
      <c r="IX12" s="18">
        <v>160</v>
      </c>
      <c r="IY12" s="18">
        <v>164</v>
      </c>
      <c r="IZ12" s="18">
        <v>139</v>
      </c>
      <c r="JA12" s="18"/>
      <c r="JB12" s="18"/>
      <c r="JC12" s="18"/>
      <c r="JD12" s="18">
        <v>162</v>
      </c>
      <c r="JE12" s="18">
        <v>191</v>
      </c>
      <c r="JF12" s="18">
        <v>135</v>
      </c>
      <c r="JG12" s="18">
        <v>165</v>
      </c>
      <c r="JH12" s="18">
        <v>169</v>
      </c>
      <c r="JI12" s="18">
        <v>158</v>
      </c>
      <c r="JJ12" s="18">
        <v>125</v>
      </c>
      <c r="JK12" s="18">
        <v>168</v>
      </c>
      <c r="JL12" s="18">
        <v>178</v>
      </c>
      <c r="JM12" s="18">
        <v>187</v>
      </c>
      <c r="JN12" s="18">
        <v>147</v>
      </c>
      <c r="JO12" s="18">
        <v>167</v>
      </c>
      <c r="JP12" s="18">
        <v>178</v>
      </c>
      <c r="JQ12" s="18">
        <v>116</v>
      </c>
      <c r="JR12" s="18">
        <v>134</v>
      </c>
      <c r="JS12" s="13">
        <v>146</v>
      </c>
      <c r="JT12" s="13">
        <v>122</v>
      </c>
      <c r="JU12" s="13">
        <v>189</v>
      </c>
      <c r="JV12" s="13">
        <v>144</v>
      </c>
      <c r="JW12" s="13">
        <v>166</v>
      </c>
      <c r="JX12" s="13">
        <v>131</v>
      </c>
      <c r="JY12" s="13">
        <v>138</v>
      </c>
      <c r="JZ12" s="13">
        <v>134</v>
      </c>
      <c r="KA12" s="13">
        <v>147</v>
      </c>
      <c r="KB12" s="13"/>
      <c r="KC12" s="36">
        <f t="shared" si="1"/>
        <v>346</v>
      </c>
      <c r="KD12" s="10">
        <f t="shared" si="2"/>
        <v>0</v>
      </c>
      <c r="KE12" s="10">
        <f>IFERROR(SUM(A12:$AG12)/COUNTIF(A12:$AG12, "&gt;0"),0)</f>
        <v>129.33333333333334</v>
      </c>
      <c r="KF12" s="10">
        <f t="shared" si="0"/>
        <v>155.33333333333334</v>
      </c>
    </row>
    <row r="13" spans="1:293">
      <c r="A13" s="8" t="s">
        <v>41</v>
      </c>
      <c r="B13" s="8"/>
      <c r="C13" s="8"/>
      <c r="D13" s="8"/>
      <c r="E13" s="8"/>
      <c r="F13" s="8">
        <v>71</v>
      </c>
      <c r="G13" s="8">
        <v>126</v>
      </c>
      <c r="H13" s="8">
        <v>122</v>
      </c>
      <c r="I13" s="8">
        <v>81</v>
      </c>
      <c r="J13" s="8">
        <v>135</v>
      </c>
      <c r="K13" s="8">
        <v>108</v>
      </c>
      <c r="L13" s="8">
        <v>85</v>
      </c>
      <c r="M13" s="8">
        <v>89</v>
      </c>
      <c r="N13" s="8">
        <v>108</v>
      </c>
      <c r="O13" s="8">
        <v>131</v>
      </c>
      <c r="P13" s="8">
        <v>105</v>
      </c>
      <c r="Q13" s="8">
        <v>90</v>
      </c>
      <c r="R13" s="8"/>
      <c r="S13" s="8">
        <v>87</v>
      </c>
      <c r="T13" s="8">
        <v>83</v>
      </c>
      <c r="U13" s="8">
        <v>138</v>
      </c>
      <c r="V13" s="8">
        <v>69</v>
      </c>
      <c r="W13" s="8">
        <v>83</v>
      </c>
      <c r="X13" s="14"/>
      <c r="Y13" s="14"/>
      <c r="Z13" s="14"/>
      <c r="AA13" s="14">
        <v>88</v>
      </c>
      <c r="AB13" s="14">
        <v>104</v>
      </c>
      <c r="AC13" s="14">
        <v>135</v>
      </c>
      <c r="AD13" s="14"/>
      <c r="AE13" s="14"/>
      <c r="AF13" s="14"/>
      <c r="AG13" s="14"/>
      <c r="AH13" s="14">
        <v>110</v>
      </c>
      <c r="AI13" s="14">
        <v>130</v>
      </c>
      <c r="AJ13" s="14">
        <v>103</v>
      </c>
      <c r="AK13" s="14">
        <v>101</v>
      </c>
      <c r="AL13" s="14">
        <v>114</v>
      </c>
      <c r="AM13" s="14">
        <v>54</v>
      </c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18"/>
      <c r="IV13" s="18"/>
      <c r="IW13" s="18"/>
      <c r="IX13" s="18"/>
      <c r="IY13" s="18"/>
      <c r="IZ13" s="18"/>
      <c r="JA13" s="18"/>
      <c r="JB13" s="18"/>
      <c r="JC13" s="18"/>
      <c r="JD13" s="18"/>
      <c r="JE13" s="18"/>
      <c r="JF13" s="18"/>
      <c r="JG13" s="18"/>
      <c r="JH13" s="18"/>
      <c r="JI13" s="18"/>
      <c r="JJ13" s="18"/>
      <c r="JK13" s="18"/>
      <c r="JL13" s="18"/>
      <c r="JM13" s="18"/>
      <c r="JN13" s="18"/>
      <c r="JO13" s="18"/>
      <c r="JP13" s="18"/>
      <c r="JQ13" s="18"/>
      <c r="JR13" s="20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36">
        <f t="shared" si="1"/>
        <v>319</v>
      </c>
      <c r="KD13" s="10">
        <f t="shared" si="2"/>
        <v>0</v>
      </c>
      <c r="KE13" s="10">
        <f>IFERROR(SUM(A13:$AG13)/COUNTIF(A13:$AG13, "&gt;0"),0)</f>
        <v>101.9</v>
      </c>
      <c r="KF13" s="10">
        <f t="shared" si="0"/>
        <v>101.92307692307692</v>
      </c>
    </row>
    <row r="14" spans="1:293">
      <c r="A14" s="8" t="s">
        <v>21</v>
      </c>
      <c r="B14" s="8"/>
      <c r="C14" s="8"/>
      <c r="D14" s="8"/>
      <c r="E14" s="8"/>
      <c r="F14" s="8">
        <v>82</v>
      </c>
      <c r="G14" s="8">
        <v>70</v>
      </c>
      <c r="H14" s="8">
        <v>99</v>
      </c>
      <c r="I14" s="8">
        <v>84</v>
      </c>
      <c r="J14" s="8">
        <v>57</v>
      </c>
      <c r="K14" s="8">
        <v>68</v>
      </c>
      <c r="L14" s="8">
        <v>94</v>
      </c>
      <c r="M14" s="8">
        <v>107</v>
      </c>
      <c r="N14" s="8">
        <v>137</v>
      </c>
      <c r="O14" s="8"/>
      <c r="P14" s="8"/>
      <c r="Q14" s="8"/>
      <c r="R14" s="8"/>
      <c r="S14" s="8"/>
      <c r="T14" s="8"/>
      <c r="U14" s="8">
        <v>115</v>
      </c>
      <c r="V14" s="8">
        <v>96</v>
      </c>
      <c r="W14" s="8">
        <v>87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>
        <v>59</v>
      </c>
      <c r="AL14" s="14">
        <v>49</v>
      </c>
      <c r="AM14" s="14">
        <v>86</v>
      </c>
      <c r="AN14" s="14"/>
      <c r="AO14" s="14"/>
      <c r="AP14" s="14"/>
      <c r="AQ14" s="14">
        <v>60</v>
      </c>
      <c r="AR14" s="14">
        <v>72</v>
      </c>
      <c r="AS14" s="14">
        <v>64</v>
      </c>
      <c r="AT14" s="14">
        <v>37</v>
      </c>
      <c r="AU14" s="14">
        <v>39</v>
      </c>
      <c r="AV14" s="14">
        <v>49</v>
      </c>
      <c r="AW14" s="14">
        <v>89</v>
      </c>
      <c r="AX14" s="14">
        <v>69</v>
      </c>
      <c r="AY14" s="14">
        <v>61</v>
      </c>
      <c r="AZ14" s="14">
        <v>67</v>
      </c>
      <c r="BA14" s="14">
        <v>69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  <c r="IW14" s="14"/>
      <c r="IX14" s="14"/>
      <c r="IY14" s="14"/>
      <c r="IZ14" s="14"/>
      <c r="JA14" s="14"/>
      <c r="JB14" s="14"/>
      <c r="JC14" s="14"/>
      <c r="JD14" s="14"/>
      <c r="JE14" s="14"/>
      <c r="JF14" s="14"/>
      <c r="JG14" s="14"/>
      <c r="JH14" s="14"/>
      <c r="JI14" s="14"/>
      <c r="JJ14" s="14"/>
      <c r="JK14" s="14"/>
      <c r="JL14" s="14"/>
      <c r="JM14" s="14"/>
      <c r="JN14" s="14"/>
      <c r="JO14" s="14"/>
      <c r="JP14" s="14"/>
      <c r="JQ14" s="14"/>
      <c r="JR14" s="14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36">
        <f t="shared" si="1"/>
        <v>251</v>
      </c>
      <c r="KD14" s="10">
        <f t="shared" si="2"/>
        <v>0</v>
      </c>
      <c r="KE14" s="10">
        <f>IFERROR(SUM(A14:$AG14)/COUNTIF(A14:$AG14, "&gt;0"),0)</f>
        <v>91.333333333333329</v>
      </c>
      <c r="KF14" s="10">
        <f t="shared" si="0"/>
        <v>75.615384615384613</v>
      </c>
    </row>
    <row r="15" spans="1:293">
      <c r="A15" s="8" t="s">
        <v>24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>
        <v>139</v>
      </c>
      <c r="AR15" s="18">
        <v>138</v>
      </c>
      <c r="AS15" s="18">
        <v>145</v>
      </c>
      <c r="AT15" s="18">
        <v>172</v>
      </c>
      <c r="AU15" s="18">
        <v>145</v>
      </c>
      <c r="AV15" s="18">
        <v>170</v>
      </c>
      <c r="AW15" s="18"/>
      <c r="AX15" s="18"/>
      <c r="AY15" s="18"/>
      <c r="AZ15" s="18">
        <v>177</v>
      </c>
      <c r="BA15" s="18">
        <v>161</v>
      </c>
      <c r="BB15" s="18">
        <v>181</v>
      </c>
      <c r="BC15" s="18"/>
      <c r="BD15" s="18"/>
      <c r="BE15" s="18"/>
      <c r="BF15" s="18">
        <v>114</v>
      </c>
      <c r="BG15" s="18">
        <v>143</v>
      </c>
      <c r="BH15" s="18">
        <v>162</v>
      </c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9">
        <v>234</v>
      </c>
      <c r="CE15" s="18">
        <v>157</v>
      </c>
      <c r="CF15" s="18">
        <v>126</v>
      </c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>
        <v>151</v>
      </c>
      <c r="CZ15" s="18">
        <v>159</v>
      </c>
      <c r="DA15" s="18">
        <v>145</v>
      </c>
      <c r="DB15" s="18"/>
      <c r="DC15" s="18"/>
      <c r="DD15" s="18"/>
      <c r="DE15" s="18"/>
      <c r="DF15" s="20">
        <v>212</v>
      </c>
      <c r="DG15" s="18">
        <v>161</v>
      </c>
      <c r="DH15" s="18">
        <v>158</v>
      </c>
      <c r="DI15" s="18">
        <v>151</v>
      </c>
      <c r="DJ15" s="20">
        <v>219</v>
      </c>
      <c r="DK15" s="18">
        <v>198</v>
      </c>
      <c r="DL15" s="20">
        <v>225</v>
      </c>
      <c r="DM15" s="18">
        <v>171</v>
      </c>
      <c r="DN15" s="18">
        <v>158</v>
      </c>
      <c r="DO15" s="18">
        <v>154</v>
      </c>
      <c r="DP15" s="18">
        <v>157</v>
      </c>
      <c r="DQ15" s="18"/>
      <c r="DR15" s="18"/>
      <c r="DS15" s="18"/>
      <c r="DT15" s="18"/>
      <c r="DU15" s="18"/>
      <c r="DV15" s="18"/>
      <c r="DW15" s="18">
        <v>175</v>
      </c>
      <c r="DX15" s="18">
        <v>166</v>
      </c>
      <c r="DY15" s="18">
        <v>199</v>
      </c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>
        <v>160</v>
      </c>
      <c r="EM15" s="18">
        <v>148</v>
      </c>
      <c r="EN15" s="18">
        <v>135</v>
      </c>
      <c r="EO15" s="18"/>
      <c r="EP15" s="18">
        <v>120</v>
      </c>
      <c r="EQ15" s="18">
        <v>165</v>
      </c>
      <c r="ER15" s="18"/>
      <c r="ES15" s="18"/>
      <c r="ET15" s="18"/>
      <c r="EU15" s="18"/>
      <c r="EV15" s="18">
        <v>132</v>
      </c>
      <c r="EW15" s="18">
        <v>155</v>
      </c>
      <c r="EX15" s="18">
        <v>146</v>
      </c>
      <c r="EY15" s="18"/>
      <c r="EZ15" s="18"/>
      <c r="FA15" s="18">
        <v>130</v>
      </c>
      <c r="FB15" s="18">
        <v>182</v>
      </c>
      <c r="FC15" s="18">
        <v>128</v>
      </c>
      <c r="FD15" s="18"/>
      <c r="FE15" s="18"/>
      <c r="FF15" s="18"/>
      <c r="FG15" s="18">
        <v>151</v>
      </c>
      <c r="FH15" s="18">
        <v>181</v>
      </c>
      <c r="FI15" s="18">
        <v>133</v>
      </c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>
        <v>142</v>
      </c>
      <c r="GA15" s="18">
        <v>126</v>
      </c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>
        <v>179</v>
      </c>
      <c r="HL15" s="18">
        <v>162</v>
      </c>
      <c r="HM15" s="18">
        <v>122</v>
      </c>
      <c r="HN15" s="18"/>
      <c r="HO15" s="18"/>
      <c r="HP15" s="18"/>
      <c r="HQ15" s="18"/>
      <c r="HR15" s="18"/>
      <c r="HS15" s="18">
        <v>126</v>
      </c>
      <c r="HT15" s="18">
        <v>150</v>
      </c>
      <c r="HU15" s="18">
        <v>153</v>
      </c>
      <c r="HV15" s="18"/>
      <c r="HW15" s="18">
        <v>124</v>
      </c>
      <c r="HX15" s="18">
        <v>168</v>
      </c>
      <c r="HY15" s="18">
        <v>169</v>
      </c>
      <c r="HZ15" s="18"/>
      <c r="IA15" s="18"/>
      <c r="IB15" s="18"/>
      <c r="IC15" s="18"/>
      <c r="ID15" s="18"/>
      <c r="IE15" s="20">
        <v>223</v>
      </c>
      <c r="IF15" s="20">
        <v>212</v>
      </c>
      <c r="IG15" s="18">
        <v>191</v>
      </c>
      <c r="IH15" s="18"/>
      <c r="II15" s="18">
        <v>187</v>
      </c>
      <c r="IJ15" s="18">
        <v>140</v>
      </c>
      <c r="IK15" s="18">
        <v>181</v>
      </c>
      <c r="IL15" s="18">
        <v>141</v>
      </c>
      <c r="IM15" s="18">
        <v>202</v>
      </c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>
        <v>190</v>
      </c>
      <c r="JB15" s="18">
        <v>170</v>
      </c>
      <c r="JC15" s="18">
        <v>146</v>
      </c>
      <c r="JD15" s="18"/>
      <c r="JE15" s="18">
        <v>158</v>
      </c>
      <c r="JF15" s="18">
        <v>108</v>
      </c>
      <c r="JG15" s="18">
        <v>156</v>
      </c>
      <c r="JH15" s="18">
        <v>169</v>
      </c>
      <c r="JI15" s="18">
        <v>189</v>
      </c>
      <c r="JJ15" s="18"/>
      <c r="JK15" s="18"/>
      <c r="JL15" s="18"/>
      <c r="JM15" s="18"/>
      <c r="JN15" s="18"/>
      <c r="JO15" s="18"/>
      <c r="JP15" s="18">
        <v>162</v>
      </c>
      <c r="JQ15" s="18">
        <v>124</v>
      </c>
      <c r="JR15" s="18">
        <v>136</v>
      </c>
      <c r="JS15" s="13">
        <v>169</v>
      </c>
      <c r="JT15" s="13">
        <v>155</v>
      </c>
      <c r="JU15" s="13">
        <v>175</v>
      </c>
      <c r="JV15" s="13">
        <v>157</v>
      </c>
      <c r="JW15" s="13">
        <v>160</v>
      </c>
      <c r="JX15" s="13">
        <v>195</v>
      </c>
      <c r="JY15" s="13"/>
      <c r="JZ15" s="13"/>
      <c r="KA15" s="13"/>
      <c r="KB15" s="13"/>
      <c r="KC15" s="36">
        <f t="shared" si="1"/>
        <v>0</v>
      </c>
      <c r="KD15" s="10">
        <f t="shared" si="2"/>
        <v>0</v>
      </c>
      <c r="KE15" s="10">
        <f>IFERROR(SUM(A15:$AG15)/COUNTIF(A15:$AG15, "&gt;0"),0)</f>
        <v>0</v>
      </c>
      <c r="KF15" s="10">
        <f t="shared" si="0"/>
        <v>161.04878048780489</v>
      </c>
    </row>
    <row r="16" spans="1:293">
      <c r="A16" s="8" t="s">
        <v>36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>
        <v>98</v>
      </c>
      <c r="BP16" s="18">
        <v>78</v>
      </c>
      <c r="BQ16" s="18">
        <v>94</v>
      </c>
      <c r="BR16" s="18">
        <v>79</v>
      </c>
      <c r="BS16" s="18">
        <v>88</v>
      </c>
      <c r="BT16" s="18">
        <v>100</v>
      </c>
      <c r="BU16" s="18"/>
      <c r="BV16" s="18"/>
      <c r="BW16" s="18"/>
      <c r="BX16" s="18">
        <v>66</v>
      </c>
      <c r="BY16" s="18">
        <v>87</v>
      </c>
      <c r="BZ16" s="18">
        <v>70</v>
      </c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  <c r="IW16" s="18"/>
      <c r="IX16" s="18"/>
      <c r="IY16" s="18"/>
      <c r="IZ16" s="18"/>
      <c r="JA16" s="18"/>
      <c r="JB16" s="18"/>
      <c r="JC16" s="18"/>
      <c r="JD16" s="18"/>
      <c r="JE16" s="18"/>
      <c r="JF16" s="18"/>
      <c r="JG16" s="18"/>
      <c r="JH16" s="18"/>
      <c r="JI16" s="18"/>
      <c r="JJ16" s="18"/>
      <c r="JK16" s="18"/>
      <c r="JL16" s="18"/>
      <c r="JM16" s="18"/>
      <c r="JN16" s="18"/>
      <c r="JO16" s="18"/>
      <c r="JP16" s="18"/>
      <c r="JQ16" s="18"/>
      <c r="JR16" s="20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36">
        <f t="shared" si="1"/>
        <v>0</v>
      </c>
      <c r="KD16" s="10">
        <f t="shared" si="2"/>
        <v>0</v>
      </c>
      <c r="KE16" s="10">
        <f>IFERROR(SUM(A16:$AG16)/COUNTIF(A16:$AG16, "&gt;0"),0)</f>
        <v>0</v>
      </c>
      <c r="KF16" s="10">
        <f t="shared" si="0"/>
        <v>84.444444444444443</v>
      </c>
    </row>
    <row r="17" spans="1:292">
      <c r="A17" s="8" t="s">
        <v>27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>
        <v>45</v>
      </c>
      <c r="P17" s="8">
        <v>111</v>
      </c>
      <c r="Q17" s="8">
        <v>49</v>
      </c>
      <c r="R17" s="8"/>
      <c r="S17" s="8">
        <v>68</v>
      </c>
      <c r="T17" s="8">
        <v>72</v>
      </c>
      <c r="U17" s="8"/>
      <c r="V17" s="8"/>
      <c r="W17" s="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>
        <v>36</v>
      </c>
      <c r="AR17" s="18">
        <v>61</v>
      </c>
      <c r="AS17" s="18">
        <v>79</v>
      </c>
      <c r="AT17" s="18"/>
      <c r="AU17" s="18"/>
      <c r="AV17" s="18"/>
      <c r="AW17" s="18">
        <v>52</v>
      </c>
      <c r="AX17" s="18">
        <v>77</v>
      </c>
      <c r="AY17" s="18">
        <v>64</v>
      </c>
      <c r="AZ17" s="18">
        <v>74</v>
      </c>
      <c r="BA17" s="18">
        <v>60</v>
      </c>
      <c r="BB17" s="18">
        <v>75</v>
      </c>
      <c r="BC17" s="28">
        <v>52</v>
      </c>
      <c r="BD17" s="28">
        <v>28</v>
      </c>
      <c r="BE17" s="28">
        <v>50</v>
      </c>
      <c r="BF17" s="18"/>
      <c r="BG17" s="18"/>
      <c r="BH17" s="18"/>
      <c r="BI17" s="18"/>
      <c r="BJ17" s="18"/>
      <c r="BK17" s="18"/>
      <c r="BL17" s="18">
        <v>24</v>
      </c>
      <c r="BM17" s="18">
        <v>28</v>
      </c>
      <c r="BN17" s="18">
        <v>51</v>
      </c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  <c r="IW17" s="18"/>
      <c r="IX17" s="18"/>
      <c r="IY17" s="18"/>
      <c r="IZ17" s="18"/>
      <c r="JA17" s="18"/>
      <c r="JB17" s="18"/>
      <c r="JC17" s="18"/>
      <c r="JD17" s="18"/>
      <c r="JE17" s="18"/>
      <c r="JF17" s="18"/>
      <c r="JG17" s="18"/>
      <c r="JH17" s="18"/>
      <c r="JI17" s="18"/>
      <c r="JJ17" s="18"/>
      <c r="JK17" s="18"/>
      <c r="JL17" s="18"/>
      <c r="JM17" s="18"/>
      <c r="JN17" s="18"/>
      <c r="JO17" s="18"/>
      <c r="JP17" s="18"/>
      <c r="JQ17" s="18"/>
      <c r="JR17" s="20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36">
        <f t="shared" si="1"/>
        <v>0</v>
      </c>
      <c r="KD17" s="10">
        <f t="shared" si="2"/>
        <v>0</v>
      </c>
      <c r="KE17" s="10">
        <f>IFERROR(SUM(A17:$AG17)/COUNTIF(A17:$AG17, "&gt;0"),0)</f>
        <v>69</v>
      </c>
      <c r="KF17" s="10">
        <f t="shared" si="0"/>
        <v>57.8</v>
      </c>
    </row>
    <row r="18" spans="1:292">
      <c r="A18" s="8" t="s">
        <v>10</v>
      </c>
      <c r="B18" s="8"/>
      <c r="C18" s="8"/>
      <c r="D18" s="8"/>
      <c r="E18" s="8"/>
      <c r="F18" s="8"/>
      <c r="G18" s="8"/>
      <c r="H18" s="8"/>
      <c r="I18" s="8">
        <v>216</v>
      </c>
      <c r="J18" s="8">
        <v>192</v>
      </c>
      <c r="K18" s="8">
        <v>133</v>
      </c>
      <c r="L18" s="8">
        <v>148</v>
      </c>
      <c r="M18" s="8">
        <v>172</v>
      </c>
      <c r="N18" s="8">
        <v>165</v>
      </c>
      <c r="O18" s="8"/>
      <c r="P18" s="8"/>
      <c r="Q18" s="8"/>
      <c r="R18" s="8"/>
      <c r="S18" s="8"/>
      <c r="T18" s="8"/>
      <c r="U18" s="8">
        <v>165</v>
      </c>
      <c r="V18" s="8">
        <v>147</v>
      </c>
      <c r="W18" s="8">
        <v>138</v>
      </c>
      <c r="X18" s="18">
        <v>174</v>
      </c>
      <c r="Y18" s="18">
        <v>171</v>
      </c>
      <c r="Z18" s="18">
        <v>168</v>
      </c>
      <c r="AA18" s="18">
        <v>135</v>
      </c>
      <c r="AB18" s="18">
        <v>125</v>
      </c>
      <c r="AC18" s="18">
        <v>131</v>
      </c>
      <c r="AD18" s="18">
        <v>196</v>
      </c>
      <c r="AE18" s="18">
        <v>175</v>
      </c>
      <c r="AF18" s="18">
        <v>147</v>
      </c>
      <c r="AG18" s="18"/>
      <c r="AH18" s="18">
        <v>179</v>
      </c>
      <c r="AI18" s="18">
        <v>170</v>
      </c>
      <c r="AJ18" s="18">
        <v>177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>
        <v>126</v>
      </c>
      <c r="AU18" s="18">
        <v>121</v>
      </c>
      <c r="AV18" s="18">
        <v>177</v>
      </c>
      <c r="AW18" s="18">
        <v>144</v>
      </c>
      <c r="AX18" s="18">
        <v>100</v>
      </c>
      <c r="AY18" s="18">
        <v>150</v>
      </c>
      <c r="AZ18" s="18"/>
      <c r="BA18" s="18"/>
      <c r="BB18" s="18"/>
      <c r="BC18" s="28">
        <v>214</v>
      </c>
      <c r="BD18" s="28">
        <v>184</v>
      </c>
      <c r="BE18" s="28">
        <v>145</v>
      </c>
      <c r="BF18" s="18">
        <v>182</v>
      </c>
      <c r="BG18" s="18">
        <v>134</v>
      </c>
      <c r="BH18" s="18">
        <v>167</v>
      </c>
      <c r="BI18" s="18">
        <v>158</v>
      </c>
      <c r="BJ18" s="18">
        <v>145</v>
      </c>
      <c r="BK18" s="18">
        <v>155</v>
      </c>
      <c r="BL18" s="18"/>
      <c r="BM18" s="18"/>
      <c r="BN18" s="18"/>
      <c r="BO18" s="18">
        <v>166</v>
      </c>
      <c r="BP18" s="18">
        <v>149</v>
      </c>
      <c r="BQ18" s="18">
        <v>165</v>
      </c>
      <c r="BR18" s="18">
        <v>137</v>
      </c>
      <c r="BS18" s="18">
        <v>156</v>
      </c>
      <c r="BT18" s="18">
        <v>182</v>
      </c>
      <c r="BU18" s="18">
        <v>164</v>
      </c>
      <c r="BV18" s="18">
        <v>154</v>
      </c>
      <c r="BW18" s="18">
        <v>143</v>
      </c>
      <c r="BX18" s="18">
        <v>154</v>
      </c>
      <c r="BY18" s="18">
        <v>178</v>
      </c>
      <c r="BZ18" s="18">
        <v>151</v>
      </c>
      <c r="CA18" s="18">
        <v>139</v>
      </c>
      <c r="CB18" s="18">
        <v>147</v>
      </c>
      <c r="CC18" s="18">
        <v>147</v>
      </c>
      <c r="CD18" s="18"/>
      <c r="CE18" s="18"/>
      <c r="CF18" s="18"/>
      <c r="CG18" s="18"/>
      <c r="CH18" s="18"/>
      <c r="CI18" s="18"/>
      <c r="CJ18" s="18">
        <v>138</v>
      </c>
      <c r="CK18" s="18">
        <v>122</v>
      </c>
      <c r="CL18" s="18">
        <v>164</v>
      </c>
      <c r="CM18" s="18"/>
      <c r="CN18" s="18"/>
      <c r="CO18" s="18"/>
      <c r="CP18" s="18"/>
      <c r="CQ18" s="18"/>
      <c r="CR18" s="18"/>
      <c r="CS18" s="18">
        <v>173</v>
      </c>
      <c r="CT18" s="18">
        <v>161</v>
      </c>
      <c r="CU18" s="18">
        <v>160</v>
      </c>
      <c r="CV18" s="18"/>
      <c r="CW18" s="18"/>
      <c r="CX18" s="18"/>
      <c r="CY18" s="18">
        <v>185</v>
      </c>
      <c r="CZ18" s="18">
        <v>176</v>
      </c>
      <c r="DA18" s="18">
        <v>152</v>
      </c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>
        <v>146</v>
      </c>
      <c r="DM18" s="18">
        <v>144</v>
      </c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>
        <v>116</v>
      </c>
      <c r="GS18" s="18">
        <v>180</v>
      </c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  <c r="IU18" s="18"/>
      <c r="IV18" s="18"/>
      <c r="IW18" s="18"/>
      <c r="IX18" s="18"/>
      <c r="IY18" s="18"/>
      <c r="IZ18" s="18"/>
      <c r="JA18" s="18"/>
      <c r="JB18" s="18"/>
      <c r="JC18" s="18"/>
      <c r="JD18" s="18"/>
      <c r="JE18" s="18"/>
      <c r="JF18" s="18"/>
      <c r="JG18" s="18"/>
      <c r="JH18" s="18"/>
      <c r="JI18" s="18"/>
      <c r="JJ18" s="18">
        <v>138</v>
      </c>
      <c r="JK18" s="18">
        <v>149</v>
      </c>
      <c r="JL18" s="18">
        <v>175</v>
      </c>
      <c r="JM18" s="18"/>
      <c r="JN18" s="18"/>
      <c r="JO18" s="18"/>
      <c r="JP18" s="18"/>
      <c r="JQ18" s="18"/>
      <c r="JR18" s="18"/>
      <c r="JS18" s="13"/>
      <c r="JT18" s="13"/>
      <c r="JU18" s="13"/>
      <c r="JV18" s="13">
        <v>126</v>
      </c>
      <c r="JW18" s="13">
        <v>146</v>
      </c>
      <c r="JX18" s="13">
        <v>128</v>
      </c>
      <c r="JY18" s="13"/>
      <c r="JZ18" s="13"/>
      <c r="KA18" s="13"/>
      <c r="KB18" s="13"/>
      <c r="KC18" s="36">
        <f t="shared" si="1"/>
        <v>0</v>
      </c>
      <c r="KD18" s="10">
        <f t="shared" si="2"/>
        <v>0</v>
      </c>
      <c r="KE18" s="10">
        <f>IFERROR(SUM(A18:$AG18)/COUNTIF(A18:$AG18, "&gt;0"),0)</f>
        <v>161</v>
      </c>
      <c r="KF18" s="10">
        <f t="shared" si="0"/>
        <v>156.24285714285713</v>
      </c>
    </row>
    <row r="19" spans="1:292">
      <c r="A19" s="8" t="s">
        <v>28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>
        <v>124</v>
      </c>
      <c r="AX19" s="18">
        <v>106</v>
      </c>
      <c r="AY19" s="18">
        <v>111</v>
      </c>
      <c r="AZ19" s="18"/>
      <c r="BA19" s="18"/>
      <c r="BB19" s="18"/>
      <c r="BC19" s="18"/>
      <c r="BD19" s="18"/>
      <c r="BE19" s="18"/>
      <c r="BF19" s="18"/>
      <c r="BG19" s="18"/>
      <c r="BH19" s="18"/>
      <c r="BI19" s="18">
        <v>126</v>
      </c>
      <c r="BJ19" s="18">
        <v>127</v>
      </c>
      <c r="BK19" s="18">
        <v>85</v>
      </c>
      <c r="BL19" s="18">
        <v>110</v>
      </c>
      <c r="BM19" s="18">
        <v>129</v>
      </c>
      <c r="BN19" s="18">
        <v>102</v>
      </c>
      <c r="BO19" s="18"/>
      <c r="BP19" s="18"/>
      <c r="BQ19" s="18"/>
      <c r="BR19" s="18">
        <v>73</v>
      </c>
      <c r="BS19" s="18">
        <v>73</v>
      </c>
      <c r="BT19" s="18">
        <v>131</v>
      </c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20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36">
        <f t="shared" si="1"/>
        <v>0</v>
      </c>
      <c r="KD19" s="10">
        <f t="shared" si="2"/>
        <v>0</v>
      </c>
      <c r="KE19" s="10">
        <f>IFERROR(SUM(A19:$AG19)/COUNTIF(A19:$AG19, "&gt;0"),0)</f>
        <v>0</v>
      </c>
      <c r="KF19" s="10">
        <f t="shared" si="0"/>
        <v>108.08333333333333</v>
      </c>
    </row>
    <row r="20" spans="1:292">
      <c r="A20" s="8" t="s">
        <v>15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>
        <v>156</v>
      </c>
      <c r="P20" s="8">
        <v>172</v>
      </c>
      <c r="Q20" s="8">
        <v>177</v>
      </c>
      <c r="R20" s="8"/>
      <c r="S20" s="8"/>
      <c r="T20" s="8"/>
      <c r="U20" s="8"/>
      <c r="V20" s="8"/>
      <c r="W20" s="8"/>
      <c r="X20" s="18"/>
      <c r="Y20" s="18"/>
      <c r="Z20" s="18"/>
      <c r="AA20" s="18"/>
      <c r="AB20" s="18"/>
      <c r="AC20" s="18"/>
      <c r="AD20" s="18"/>
      <c r="AE20" s="18">
        <v>155</v>
      </c>
      <c r="AF20" s="18">
        <v>225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>
        <v>164</v>
      </c>
      <c r="AR20" s="18">
        <v>157</v>
      </c>
      <c r="AS20" s="18">
        <v>147</v>
      </c>
      <c r="AT20" s="18"/>
      <c r="AU20" s="18"/>
      <c r="AV20" s="18"/>
      <c r="AW20" s="18"/>
      <c r="AX20" s="18"/>
      <c r="AY20" s="18"/>
      <c r="AZ20" s="18">
        <v>140</v>
      </c>
      <c r="BA20" s="18">
        <v>100</v>
      </c>
      <c r="BB20" s="18">
        <v>159</v>
      </c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>
        <v>148</v>
      </c>
      <c r="BP20" s="18">
        <v>151</v>
      </c>
      <c r="BQ20" s="18">
        <v>146</v>
      </c>
      <c r="BR20" s="18">
        <v>137</v>
      </c>
      <c r="BS20" s="18">
        <v>156</v>
      </c>
      <c r="BT20" s="18">
        <v>182</v>
      </c>
      <c r="BU20" s="18"/>
      <c r="BV20" s="18"/>
      <c r="BW20" s="18"/>
      <c r="BX20" s="18"/>
      <c r="BY20" s="18"/>
      <c r="BZ20" s="18"/>
      <c r="CA20" s="18">
        <v>148</v>
      </c>
      <c r="CB20" s="18">
        <v>129</v>
      </c>
      <c r="CC20" s="18">
        <v>171</v>
      </c>
      <c r="CD20" s="18"/>
      <c r="CE20" s="18"/>
      <c r="CF20" s="18"/>
      <c r="CG20" s="18">
        <v>127</v>
      </c>
      <c r="CH20" s="18">
        <v>155</v>
      </c>
      <c r="CI20" s="18">
        <v>144</v>
      </c>
      <c r="CJ20" s="18"/>
      <c r="CK20" s="18"/>
      <c r="CL20" s="18"/>
      <c r="CM20" s="18">
        <v>163</v>
      </c>
      <c r="CN20" s="18">
        <v>143</v>
      </c>
      <c r="CO20" s="18">
        <v>141</v>
      </c>
      <c r="CP20" s="18">
        <v>161</v>
      </c>
      <c r="CQ20" s="18">
        <v>150</v>
      </c>
      <c r="CR20" s="18">
        <v>177</v>
      </c>
      <c r="CS20" s="18"/>
      <c r="CT20" s="18"/>
      <c r="CU20" s="18"/>
      <c r="CV20" s="18"/>
      <c r="CW20" s="18"/>
      <c r="CX20" s="18"/>
      <c r="CY20" s="18">
        <v>158</v>
      </c>
      <c r="CZ20" s="18">
        <v>129</v>
      </c>
      <c r="DA20" s="18">
        <v>152</v>
      </c>
      <c r="DB20" s="18"/>
      <c r="DC20" s="18"/>
      <c r="DD20" s="18"/>
      <c r="DE20" s="18"/>
      <c r="DF20" s="18">
        <v>143</v>
      </c>
      <c r="DG20" s="18">
        <v>146</v>
      </c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>
        <v>146</v>
      </c>
      <c r="DU20" s="18">
        <v>146</v>
      </c>
      <c r="DV20" s="18">
        <v>165</v>
      </c>
      <c r="DW20" s="18">
        <v>168</v>
      </c>
      <c r="DX20" s="18">
        <v>183</v>
      </c>
      <c r="DY20" s="18">
        <v>193</v>
      </c>
      <c r="DZ20" s="20">
        <v>210</v>
      </c>
      <c r="EA20" s="18">
        <v>172</v>
      </c>
      <c r="EB20" s="18">
        <v>124</v>
      </c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>
        <v>181</v>
      </c>
      <c r="EQ20" s="18">
        <v>185</v>
      </c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>
        <v>192</v>
      </c>
      <c r="FE20" s="18">
        <v>193</v>
      </c>
      <c r="FF20" s="18">
        <v>165</v>
      </c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>
        <v>172</v>
      </c>
      <c r="FU20" s="18">
        <v>150</v>
      </c>
      <c r="FV20" s="18">
        <v>175</v>
      </c>
      <c r="FW20" s="18">
        <v>145</v>
      </c>
      <c r="FX20" s="18">
        <v>179</v>
      </c>
      <c r="FY20" s="18">
        <v>183</v>
      </c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>
        <v>184</v>
      </c>
      <c r="GS20" s="18">
        <v>179</v>
      </c>
      <c r="GT20" s="18">
        <v>144</v>
      </c>
      <c r="GU20" s="18">
        <v>100</v>
      </c>
      <c r="GV20" s="18">
        <v>117</v>
      </c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>
        <v>186</v>
      </c>
      <c r="HI20" s="18">
        <v>141</v>
      </c>
      <c r="HJ20" s="18">
        <v>168</v>
      </c>
      <c r="HK20" s="18">
        <v>138</v>
      </c>
      <c r="HL20" s="18">
        <v>135</v>
      </c>
      <c r="HM20" s="18">
        <v>132</v>
      </c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>
        <v>159</v>
      </c>
      <c r="IA20" s="18">
        <v>134</v>
      </c>
      <c r="IB20" s="18">
        <v>186</v>
      </c>
      <c r="IC20" s="18">
        <v>182</v>
      </c>
      <c r="ID20" s="18">
        <v>198</v>
      </c>
      <c r="IE20" s="18"/>
      <c r="IF20" s="18"/>
      <c r="IG20" s="18"/>
      <c r="IH20" s="18"/>
      <c r="II20" s="18"/>
      <c r="IJ20" s="18"/>
      <c r="IK20" s="18"/>
      <c r="IL20" s="18">
        <v>149</v>
      </c>
      <c r="IM20" s="18">
        <v>145</v>
      </c>
      <c r="IN20" s="18"/>
      <c r="IO20" s="18"/>
      <c r="IP20" s="18"/>
      <c r="IQ20" s="18"/>
      <c r="IR20" s="18"/>
      <c r="IS20" s="18"/>
      <c r="IT20" s="18"/>
      <c r="IU20" s="18"/>
      <c r="IV20" s="18"/>
      <c r="IW20" s="18"/>
      <c r="IX20" s="18">
        <v>170</v>
      </c>
      <c r="IY20" s="18">
        <v>132</v>
      </c>
      <c r="IZ20" s="18">
        <v>162</v>
      </c>
      <c r="JA20" s="18">
        <v>147</v>
      </c>
      <c r="JB20" s="18">
        <v>150</v>
      </c>
      <c r="JC20" s="18">
        <v>124</v>
      </c>
      <c r="JD20" s="18"/>
      <c r="JE20" s="18"/>
      <c r="JF20" s="18"/>
      <c r="JG20" s="18">
        <v>134</v>
      </c>
      <c r="JH20" s="18">
        <v>122</v>
      </c>
      <c r="JI20" s="18">
        <v>120</v>
      </c>
      <c r="JJ20" s="18"/>
      <c r="JK20" s="18"/>
      <c r="JL20" s="18"/>
      <c r="JM20" s="18"/>
      <c r="JN20" s="18"/>
      <c r="JO20" s="18"/>
      <c r="JP20" s="18"/>
      <c r="JQ20" s="18"/>
      <c r="JR20" s="18"/>
      <c r="JS20" s="13"/>
      <c r="JT20" s="13"/>
      <c r="JU20" s="13"/>
      <c r="JV20" s="13">
        <v>124</v>
      </c>
      <c r="JW20" s="13">
        <v>159</v>
      </c>
      <c r="JX20" s="13">
        <v>149</v>
      </c>
      <c r="JY20" s="13"/>
      <c r="JZ20" s="13"/>
      <c r="KA20" s="13"/>
      <c r="KB20" s="13"/>
      <c r="KC20" s="36">
        <f t="shared" si="1"/>
        <v>0</v>
      </c>
      <c r="KD20" s="10">
        <f t="shared" si="2"/>
        <v>0</v>
      </c>
      <c r="KE20" s="10">
        <f>IFERROR(SUM(A20:$AG20)/COUNTIF(A20:$AG20, "&gt;0"),0)</f>
        <v>177</v>
      </c>
      <c r="KF20" s="10">
        <f t="shared" si="0"/>
        <v>156.02380952380952</v>
      </c>
    </row>
    <row r="21" spans="1:292" ht="16.5" hidden="1" customHeight="1">
      <c r="A21" s="115" t="s">
        <v>19</v>
      </c>
      <c r="B21" s="115"/>
      <c r="C21" s="223"/>
      <c r="D21" s="223"/>
      <c r="E21" s="223"/>
      <c r="F21" s="165"/>
      <c r="G21" s="165"/>
      <c r="H21" s="165"/>
      <c r="I21" s="164"/>
      <c r="J21" s="164"/>
      <c r="K21" s="164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4"/>
      <c r="Y21" s="14"/>
      <c r="Z21" s="14"/>
      <c r="AA21" s="14"/>
      <c r="AB21" s="14"/>
      <c r="AC21" s="14"/>
      <c r="AD21" s="14"/>
      <c r="AE21" s="14"/>
      <c r="AF21" s="14">
        <v>84</v>
      </c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>
        <v>101</v>
      </c>
      <c r="AR21" s="14">
        <v>78</v>
      </c>
      <c r="AS21" s="14">
        <v>110</v>
      </c>
      <c r="AT21" s="14"/>
      <c r="AU21" s="14">
        <v>85</v>
      </c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36">
        <f t="shared" si="1"/>
        <v>0</v>
      </c>
      <c r="KD21" s="10">
        <f t="shared" si="2"/>
        <v>0</v>
      </c>
      <c r="KE21" s="10">
        <f>IFERROR(SUM(A21:$AG21)/COUNTIF(A21:$AG21, "&gt;0"),0)</f>
        <v>84</v>
      </c>
      <c r="KF21" s="10">
        <f t="shared" si="0"/>
        <v>91.6</v>
      </c>
    </row>
    <row r="22" spans="1:292">
      <c r="A22" s="8" t="s">
        <v>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>
        <v>189</v>
      </c>
      <c r="M22" s="8">
        <v>145</v>
      </c>
      <c r="N22" s="8">
        <v>235</v>
      </c>
      <c r="O22" s="8"/>
      <c r="P22" s="8"/>
      <c r="Q22" s="8"/>
      <c r="R22" s="8">
        <v>181</v>
      </c>
      <c r="S22" s="8">
        <v>139</v>
      </c>
      <c r="T22" s="8">
        <v>163</v>
      </c>
      <c r="U22" s="8">
        <v>193</v>
      </c>
      <c r="V22" s="8">
        <v>139</v>
      </c>
      <c r="W22" s="8">
        <v>147</v>
      </c>
      <c r="X22" s="18">
        <v>172</v>
      </c>
      <c r="Y22" s="18">
        <v>202</v>
      </c>
      <c r="Z22" s="18">
        <v>170</v>
      </c>
      <c r="AA22" s="18"/>
      <c r="AB22" s="18"/>
      <c r="AC22" s="18"/>
      <c r="AD22" s="18">
        <v>165</v>
      </c>
      <c r="AE22" s="18">
        <v>201</v>
      </c>
      <c r="AF22" s="18">
        <v>199</v>
      </c>
      <c r="AG22" s="18"/>
      <c r="AH22" s="18">
        <v>177</v>
      </c>
      <c r="AI22" s="18">
        <v>146</v>
      </c>
      <c r="AJ22" s="18">
        <v>168</v>
      </c>
      <c r="AK22" s="18"/>
      <c r="AL22" s="18"/>
      <c r="AM22" s="18"/>
      <c r="AN22" s="18">
        <v>143</v>
      </c>
      <c r="AO22" s="18">
        <v>123</v>
      </c>
      <c r="AP22" s="18">
        <v>108</v>
      </c>
      <c r="AQ22" s="23">
        <v>194</v>
      </c>
      <c r="AR22" s="18">
        <v>168</v>
      </c>
      <c r="AS22" s="18">
        <v>160</v>
      </c>
      <c r="AT22" s="18"/>
      <c r="AU22" s="18"/>
      <c r="AV22" s="18"/>
      <c r="AW22" s="18">
        <v>110</v>
      </c>
      <c r="AX22" s="18">
        <v>157</v>
      </c>
      <c r="AY22" s="18">
        <v>121</v>
      </c>
      <c r="AZ22" s="18"/>
      <c r="BA22" s="18"/>
      <c r="BB22" s="18"/>
      <c r="BC22" s="28">
        <v>156</v>
      </c>
      <c r="BD22" s="28">
        <v>127</v>
      </c>
      <c r="BE22" s="28">
        <v>148</v>
      </c>
      <c r="BF22" s="18">
        <v>174</v>
      </c>
      <c r="BG22" s="18">
        <v>161</v>
      </c>
      <c r="BH22" s="18">
        <v>179</v>
      </c>
      <c r="BI22" s="18">
        <v>174</v>
      </c>
      <c r="BJ22" s="18">
        <v>145</v>
      </c>
      <c r="BK22" s="18">
        <v>162</v>
      </c>
      <c r="BL22" s="18">
        <v>170</v>
      </c>
      <c r="BM22" s="23">
        <v>190</v>
      </c>
      <c r="BN22" s="18">
        <v>170</v>
      </c>
      <c r="BO22" s="18">
        <v>149</v>
      </c>
      <c r="BP22" s="18">
        <v>137</v>
      </c>
      <c r="BQ22" s="18">
        <v>115</v>
      </c>
      <c r="BR22" s="18">
        <v>134</v>
      </c>
      <c r="BS22" s="18">
        <v>141</v>
      </c>
      <c r="BT22" s="18">
        <v>150</v>
      </c>
      <c r="BU22" s="18">
        <v>157</v>
      </c>
      <c r="BV22" s="18">
        <v>126</v>
      </c>
      <c r="BW22" s="18">
        <v>159</v>
      </c>
      <c r="BX22" s="18">
        <v>133</v>
      </c>
      <c r="BY22" s="18">
        <v>157</v>
      </c>
      <c r="BZ22" s="18">
        <v>138</v>
      </c>
      <c r="CA22" s="18">
        <v>161</v>
      </c>
      <c r="CB22" s="18">
        <v>168</v>
      </c>
      <c r="CC22" s="18">
        <v>173</v>
      </c>
      <c r="CD22" s="18">
        <v>181</v>
      </c>
      <c r="CE22" s="18">
        <v>180</v>
      </c>
      <c r="CF22" s="18">
        <v>164</v>
      </c>
      <c r="CG22" s="18">
        <v>139</v>
      </c>
      <c r="CH22" s="18">
        <v>212</v>
      </c>
      <c r="CI22" s="18">
        <v>141</v>
      </c>
      <c r="CJ22" s="19">
        <v>214</v>
      </c>
      <c r="CK22" s="18">
        <v>157</v>
      </c>
      <c r="CL22" s="18">
        <v>153</v>
      </c>
      <c r="CM22" s="18">
        <v>192</v>
      </c>
      <c r="CN22" s="18">
        <v>152</v>
      </c>
      <c r="CO22" s="18">
        <v>172</v>
      </c>
      <c r="CP22" s="18">
        <v>151</v>
      </c>
      <c r="CQ22" s="18">
        <v>141</v>
      </c>
      <c r="CR22" s="18">
        <v>133</v>
      </c>
      <c r="CS22" s="18">
        <v>162</v>
      </c>
      <c r="CT22" s="18">
        <v>167</v>
      </c>
      <c r="CU22" s="18">
        <v>178</v>
      </c>
      <c r="CV22" s="18">
        <v>136</v>
      </c>
      <c r="CW22" s="18">
        <v>158</v>
      </c>
      <c r="CX22" s="18">
        <v>156</v>
      </c>
      <c r="CY22" s="18">
        <v>157</v>
      </c>
      <c r="CZ22" s="18">
        <v>143</v>
      </c>
      <c r="DA22" s="18">
        <v>167</v>
      </c>
      <c r="DB22" s="18">
        <v>148</v>
      </c>
      <c r="DC22" s="18">
        <v>180</v>
      </c>
      <c r="DD22" s="20">
        <v>221</v>
      </c>
      <c r="DE22" s="18"/>
      <c r="DF22" s="18"/>
      <c r="DG22" s="18"/>
      <c r="DH22" s="18"/>
      <c r="DI22" s="18">
        <v>167</v>
      </c>
      <c r="DJ22" s="18">
        <v>124</v>
      </c>
      <c r="DK22" s="18">
        <v>142</v>
      </c>
      <c r="DL22" s="18">
        <v>115</v>
      </c>
      <c r="DM22" s="18">
        <v>147</v>
      </c>
      <c r="DN22" s="18">
        <v>115</v>
      </c>
      <c r="DO22" s="20">
        <v>200</v>
      </c>
      <c r="DP22" s="18">
        <v>185</v>
      </c>
      <c r="DQ22" s="18">
        <v>157</v>
      </c>
      <c r="DR22" s="18">
        <v>158</v>
      </c>
      <c r="DS22" s="18">
        <v>149</v>
      </c>
      <c r="DT22" s="18"/>
      <c r="DU22" s="18"/>
      <c r="DV22" s="18"/>
      <c r="DW22" s="18">
        <v>188</v>
      </c>
      <c r="DX22" s="18">
        <v>187</v>
      </c>
      <c r="DY22" s="18">
        <v>153</v>
      </c>
      <c r="DZ22" s="18">
        <v>150</v>
      </c>
      <c r="EA22" s="18">
        <v>166</v>
      </c>
      <c r="EB22" s="18">
        <v>188</v>
      </c>
      <c r="EC22" s="18">
        <v>161</v>
      </c>
      <c r="ED22" s="18">
        <v>116</v>
      </c>
      <c r="EE22" s="18">
        <v>162</v>
      </c>
      <c r="EF22" s="18">
        <v>155</v>
      </c>
      <c r="EG22" s="18"/>
      <c r="EH22" s="18"/>
      <c r="EI22" s="18"/>
      <c r="EJ22" s="18"/>
      <c r="EK22" s="18"/>
      <c r="EL22" s="18">
        <v>157</v>
      </c>
      <c r="EM22" s="18">
        <v>127</v>
      </c>
      <c r="EN22" s="18">
        <v>168</v>
      </c>
      <c r="EO22" s="18">
        <v>144</v>
      </c>
      <c r="EP22" s="18">
        <v>119</v>
      </c>
      <c r="EQ22" s="18">
        <v>161</v>
      </c>
      <c r="ER22" s="18"/>
      <c r="ES22" s="18"/>
      <c r="ET22" s="18"/>
      <c r="EU22" s="18"/>
      <c r="EV22" s="18"/>
      <c r="EW22" s="18">
        <v>134</v>
      </c>
      <c r="EX22" s="18">
        <v>112</v>
      </c>
      <c r="EY22" s="18">
        <v>160</v>
      </c>
      <c r="EZ22" s="18"/>
      <c r="FA22" s="18">
        <v>113</v>
      </c>
      <c r="FB22" s="18">
        <v>121</v>
      </c>
      <c r="FC22" s="18">
        <v>155</v>
      </c>
      <c r="FD22" s="18">
        <v>155</v>
      </c>
      <c r="FE22" s="18">
        <v>107</v>
      </c>
      <c r="FF22" s="18">
        <v>125</v>
      </c>
      <c r="FG22" s="18"/>
      <c r="FH22" s="18"/>
      <c r="FI22" s="18"/>
      <c r="FJ22" s="18"/>
      <c r="FK22" s="18"/>
      <c r="FL22" s="18"/>
      <c r="FM22" s="18"/>
      <c r="FN22" s="18"/>
      <c r="FO22" s="18"/>
      <c r="FP22" s="18">
        <v>118</v>
      </c>
      <c r="FQ22" s="18">
        <v>170</v>
      </c>
      <c r="FR22" s="18">
        <v>143</v>
      </c>
      <c r="FS22" s="18"/>
      <c r="FT22" s="18">
        <v>140</v>
      </c>
      <c r="FU22" s="18">
        <v>136</v>
      </c>
      <c r="FV22" s="18">
        <v>155</v>
      </c>
      <c r="FW22" s="18"/>
      <c r="FX22" s="18"/>
      <c r="FY22" s="18"/>
      <c r="FZ22" s="18">
        <v>143</v>
      </c>
      <c r="GA22" s="18">
        <v>143</v>
      </c>
      <c r="GB22" s="18">
        <v>144</v>
      </c>
      <c r="GC22" s="18"/>
      <c r="GD22" s="18"/>
      <c r="GE22" s="18">
        <v>153</v>
      </c>
      <c r="GF22" s="18">
        <v>124</v>
      </c>
      <c r="GG22" s="18">
        <v>146</v>
      </c>
      <c r="GH22" s="18">
        <v>101</v>
      </c>
      <c r="GI22" s="18">
        <v>134</v>
      </c>
      <c r="GJ22" s="18">
        <v>136</v>
      </c>
      <c r="GK22" s="18">
        <v>143</v>
      </c>
      <c r="GL22" s="18"/>
      <c r="GM22" s="18">
        <v>165</v>
      </c>
      <c r="GN22" s="18">
        <v>123</v>
      </c>
      <c r="GO22" s="18">
        <v>192</v>
      </c>
      <c r="GP22" s="18">
        <v>179</v>
      </c>
      <c r="GQ22" s="18">
        <v>152</v>
      </c>
      <c r="GR22" s="18">
        <v>145</v>
      </c>
      <c r="GS22" s="18">
        <v>173</v>
      </c>
      <c r="GT22" s="18"/>
      <c r="GU22" s="18"/>
      <c r="GV22" s="18"/>
      <c r="GW22" s="18">
        <v>135</v>
      </c>
      <c r="GX22" s="33">
        <v>184</v>
      </c>
      <c r="GY22" s="18">
        <v>167</v>
      </c>
      <c r="GZ22" s="18"/>
      <c r="HA22" s="18"/>
      <c r="HB22" s="18">
        <v>136</v>
      </c>
      <c r="HC22" s="18">
        <v>119</v>
      </c>
      <c r="HD22" s="18">
        <v>178</v>
      </c>
      <c r="HE22" s="18">
        <v>150</v>
      </c>
      <c r="HF22" s="18">
        <v>182</v>
      </c>
      <c r="HG22" s="18">
        <v>169</v>
      </c>
      <c r="HH22" s="18">
        <v>133</v>
      </c>
      <c r="HI22" s="18">
        <v>133</v>
      </c>
      <c r="HJ22" s="18">
        <v>153</v>
      </c>
      <c r="HK22" s="18">
        <v>96</v>
      </c>
      <c r="HL22" s="18">
        <v>161</v>
      </c>
      <c r="HM22" s="18">
        <v>123</v>
      </c>
      <c r="HN22" s="18">
        <v>101</v>
      </c>
      <c r="HO22" s="18">
        <v>131</v>
      </c>
      <c r="HP22" s="18">
        <v>148</v>
      </c>
      <c r="HQ22" s="18">
        <v>115</v>
      </c>
      <c r="HR22" s="25">
        <v>172</v>
      </c>
      <c r="HS22" s="18">
        <v>140</v>
      </c>
      <c r="HT22" s="18">
        <v>110</v>
      </c>
      <c r="HU22" s="18">
        <v>126</v>
      </c>
      <c r="HV22" s="18">
        <v>92</v>
      </c>
      <c r="HW22" s="18"/>
      <c r="HX22" s="18"/>
      <c r="HY22" s="18"/>
      <c r="HZ22" s="18"/>
      <c r="IA22" s="18"/>
      <c r="IB22" s="18"/>
      <c r="IC22" s="18"/>
      <c r="ID22" s="18"/>
      <c r="IE22" s="18">
        <v>154</v>
      </c>
      <c r="IF22" s="18">
        <v>151</v>
      </c>
      <c r="IG22" s="18">
        <v>128</v>
      </c>
      <c r="IH22" s="18"/>
      <c r="II22" s="18">
        <v>141</v>
      </c>
      <c r="IJ22" s="18">
        <v>103</v>
      </c>
      <c r="IK22" s="18">
        <v>94</v>
      </c>
      <c r="IL22" s="18"/>
      <c r="IM22" s="18"/>
      <c r="IN22" s="18">
        <v>169</v>
      </c>
      <c r="IO22" s="18">
        <v>131</v>
      </c>
      <c r="IP22" s="18">
        <v>100</v>
      </c>
      <c r="IQ22" s="18"/>
      <c r="IR22" s="18">
        <v>86</v>
      </c>
      <c r="IS22" s="18">
        <v>127</v>
      </c>
      <c r="IT22" s="18">
        <v>119</v>
      </c>
      <c r="IU22" s="18"/>
      <c r="IV22" s="18"/>
      <c r="IW22" s="18"/>
      <c r="IX22" s="18"/>
      <c r="IY22" s="18"/>
      <c r="IZ22" s="18"/>
      <c r="JA22" s="18"/>
      <c r="JB22" s="18"/>
      <c r="JC22" s="20"/>
      <c r="JD22" s="18"/>
      <c r="JE22" s="18"/>
      <c r="JF22" s="18"/>
      <c r="JG22" s="18"/>
      <c r="JH22" s="18"/>
      <c r="JI22" s="18"/>
      <c r="JJ22" s="18"/>
      <c r="JK22" s="18"/>
      <c r="JL22" s="18"/>
      <c r="JM22" s="18"/>
      <c r="JN22" s="18"/>
      <c r="JO22" s="18"/>
      <c r="JP22" s="18"/>
      <c r="JQ22" s="18"/>
      <c r="JR22" s="20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36">
        <f t="shared" si="1"/>
        <v>0</v>
      </c>
      <c r="KD22" s="10">
        <f t="shared" si="2"/>
        <v>0</v>
      </c>
      <c r="KE22" s="10">
        <f>IFERROR(SUM(A22:$AG22)/COUNTIF(A22:$AG22, "&gt;0"),0)</f>
        <v>176</v>
      </c>
      <c r="KF22" s="10">
        <f t="shared" si="0"/>
        <v>151.03409090909091</v>
      </c>
    </row>
    <row r="23" spans="1:292">
      <c r="A23" s="8" t="s">
        <v>31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>
        <v>189</v>
      </c>
      <c r="BP23" s="18">
        <v>141</v>
      </c>
      <c r="BQ23" s="18">
        <v>180</v>
      </c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>
        <v>126</v>
      </c>
      <c r="FQ23" s="18">
        <v>150</v>
      </c>
      <c r="FR23" s="18">
        <v>179</v>
      </c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>
        <v>135</v>
      </c>
      <c r="GS23" s="18">
        <v>171</v>
      </c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>
        <v>167</v>
      </c>
      <c r="HX23" s="18">
        <v>181</v>
      </c>
      <c r="HY23" s="18">
        <v>171</v>
      </c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>
        <v>153</v>
      </c>
      <c r="IS23" s="18">
        <v>176</v>
      </c>
      <c r="IT23" s="18">
        <v>158</v>
      </c>
      <c r="IU23" s="18"/>
      <c r="IV23" s="18"/>
      <c r="IW23" s="18"/>
      <c r="IX23" s="18">
        <v>191</v>
      </c>
      <c r="IY23" s="18">
        <v>169</v>
      </c>
      <c r="IZ23" s="18">
        <v>165</v>
      </c>
      <c r="JA23" s="18"/>
      <c r="JB23" s="18"/>
      <c r="JC23" s="18"/>
      <c r="JD23" s="18">
        <v>132</v>
      </c>
      <c r="JE23" s="18">
        <v>117</v>
      </c>
      <c r="JF23" s="18">
        <v>183</v>
      </c>
      <c r="JG23" s="18">
        <v>146</v>
      </c>
      <c r="JH23" s="18">
        <v>127</v>
      </c>
      <c r="JI23" s="18">
        <v>171</v>
      </c>
      <c r="JJ23" s="18"/>
      <c r="JK23" s="18"/>
      <c r="JL23" s="18"/>
      <c r="JM23" s="18"/>
      <c r="JN23" s="18"/>
      <c r="JO23" s="18"/>
      <c r="JP23" s="18"/>
      <c r="JQ23" s="18"/>
      <c r="JR23" s="20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36">
        <f t="shared" si="1"/>
        <v>0</v>
      </c>
      <c r="KD23" s="10">
        <f t="shared" si="2"/>
        <v>0</v>
      </c>
      <c r="KE23" s="10">
        <f>IFERROR(SUM(A23:$AG23)/COUNTIF(A23:$AG23, "&gt;0"),0)</f>
        <v>0</v>
      </c>
      <c r="KF23" s="10">
        <f t="shared" si="0"/>
        <v>159.91304347826087</v>
      </c>
    </row>
    <row r="24" spans="1:292">
      <c r="A24" s="8" t="s">
        <v>33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>
        <v>124</v>
      </c>
      <c r="BP24" s="18">
        <v>92</v>
      </c>
      <c r="BQ24" s="18">
        <v>112</v>
      </c>
      <c r="BR24" s="18"/>
      <c r="BS24" s="18"/>
      <c r="BT24" s="18"/>
      <c r="BU24" s="18"/>
      <c r="BV24" s="18"/>
      <c r="BW24" s="18"/>
      <c r="BX24" s="18"/>
      <c r="BY24" s="18"/>
      <c r="BZ24" s="18"/>
      <c r="CA24" s="18">
        <v>119</v>
      </c>
      <c r="CB24" s="18">
        <v>102</v>
      </c>
      <c r="CC24" s="18">
        <v>111</v>
      </c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>
        <v>105</v>
      </c>
      <c r="FE24" s="18">
        <v>123</v>
      </c>
      <c r="FF24" s="18">
        <v>157</v>
      </c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>
        <v>131</v>
      </c>
      <c r="GA24" s="25">
        <v>173</v>
      </c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>
        <v>131</v>
      </c>
      <c r="GU24" s="18">
        <v>135</v>
      </c>
      <c r="GV24" s="18">
        <v>136</v>
      </c>
      <c r="GW24" s="18"/>
      <c r="GX24" s="18"/>
      <c r="GY24" s="18"/>
      <c r="GZ24" s="18"/>
      <c r="HA24" s="18">
        <v>106</v>
      </c>
      <c r="HB24" s="18">
        <v>132</v>
      </c>
      <c r="HC24" s="18">
        <v>155</v>
      </c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>
        <v>126</v>
      </c>
      <c r="HT24" s="18">
        <v>133</v>
      </c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  <c r="JF24" s="18"/>
      <c r="JG24" s="18">
        <v>105</v>
      </c>
      <c r="JH24" s="18">
        <v>110</v>
      </c>
      <c r="JI24" s="18">
        <v>97</v>
      </c>
      <c r="JJ24" s="18"/>
      <c r="JK24" s="18"/>
      <c r="JL24" s="18"/>
      <c r="JM24" s="18">
        <v>115</v>
      </c>
      <c r="JN24" s="18"/>
      <c r="JO24" s="18"/>
      <c r="JP24" s="18"/>
      <c r="JQ24" s="18"/>
      <c r="JR24" s="18"/>
      <c r="JS24" s="13">
        <v>123</v>
      </c>
      <c r="JT24" s="13">
        <v>82</v>
      </c>
      <c r="JU24" s="13">
        <v>114</v>
      </c>
      <c r="JV24" s="13"/>
      <c r="JW24" s="13"/>
      <c r="JX24" s="13"/>
      <c r="JY24" s="13"/>
      <c r="JZ24" s="13"/>
      <c r="KA24" s="13"/>
      <c r="KB24" s="13"/>
      <c r="KC24" s="36">
        <f t="shared" si="1"/>
        <v>0</v>
      </c>
      <c r="KD24" s="10">
        <f t="shared" si="2"/>
        <v>0</v>
      </c>
      <c r="KE24" s="10">
        <f>IFERROR(SUM(A24:$AG24)/COUNTIF(A24:$AG24, "&gt;0"),0)</f>
        <v>0</v>
      </c>
      <c r="KF24" s="10">
        <f t="shared" si="0"/>
        <v>121.11538461538461</v>
      </c>
    </row>
    <row r="25" spans="1:292">
      <c r="A25" s="8" t="s">
        <v>20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>
        <v>162</v>
      </c>
      <c r="AL25" s="18">
        <v>135</v>
      </c>
      <c r="AM25" s="18">
        <v>200</v>
      </c>
      <c r="AN25" s="18"/>
      <c r="AO25" s="18"/>
      <c r="AP25" s="18"/>
      <c r="AQ25" s="18">
        <v>193</v>
      </c>
      <c r="AR25" s="18">
        <v>218</v>
      </c>
      <c r="AS25" s="18">
        <v>187</v>
      </c>
      <c r="AT25" s="18"/>
      <c r="AU25" s="18"/>
      <c r="AV25" s="18"/>
      <c r="AW25" s="18"/>
      <c r="AX25" s="18"/>
      <c r="AY25" s="18"/>
      <c r="AZ25" s="18"/>
      <c r="BA25" s="18">
        <v>211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>
        <v>191</v>
      </c>
      <c r="BP25" s="18">
        <v>197</v>
      </c>
      <c r="BQ25" s="18">
        <v>192</v>
      </c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20">
        <v>255</v>
      </c>
      <c r="CZ25" s="18">
        <v>178</v>
      </c>
      <c r="DA25" s="20">
        <v>216</v>
      </c>
      <c r="DB25" s="20">
        <v>201</v>
      </c>
      <c r="DC25" s="18">
        <v>180</v>
      </c>
      <c r="DD25" s="20">
        <v>216</v>
      </c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30">
        <v>235</v>
      </c>
      <c r="EQ25" s="20">
        <v>233</v>
      </c>
      <c r="ER25" s="18"/>
      <c r="ES25" s="18"/>
      <c r="ET25" s="18"/>
      <c r="EU25" s="18"/>
      <c r="EV25" s="18"/>
      <c r="EW25" s="18"/>
      <c r="EX25" s="18"/>
      <c r="EY25" s="18"/>
      <c r="EZ25" s="18"/>
      <c r="FA25" s="18">
        <v>156</v>
      </c>
      <c r="FB25" s="20">
        <v>238</v>
      </c>
      <c r="FC25" s="20">
        <v>242</v>
      </c>
      <c r="FD25" s="18">
        <v>154</v>
      </c>
      <c r="FE25" s="18">
        <v>167</v>
      </c>
      <c r="FF25" s="18">
        <v>165</v>
      </c>
      <c r="FG25" s="18"/>
      <c r="FH25" s="18"/>
      <c r="FI25" s="18"/>
      <c r="FJ25" s="20">
        <v>223</v>
      </c>
      <c r="FK25" s="18">
        <v>155</v>
      </c>
      <c r="FL25" s="20">
        <v>206</v>
      </c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>
        <v>158</v>
      </c>
      <c r="GS25" s="21">
        <v>204</v>
      </c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>
        <v>187</v>
      </c>
      <c r="IM25" s="18">
        <v>141</v>
      </c>
      <c r="IN25" s="18"/>
      <c r="IO25" s="18"/>
      <c r="IP25" s="18"/>
      <c r="IQ25" s="18"/>
      <c r="IR25" s="18"/>
      <c r="IS25" s="18"/>
      <c r="IT25" s="18"/>
      <c r="IU25" s="18"/>
      <c r="IV25" s="18"/>
      <c r="IW25" s="18"/>
      <c r="IX25" s="18"/>
      <c r="IY25" s="18"/>
      <c r="IZ25" s="18"/>
      <c r="JA25" s="18"/>
      <c r="JB25" s="18"/>
      <c r="JC25" s="18"/>
      <c r="JD25" s="18">
        <v>160</v>
      </c>
      <c r="JE25" s="20">
        <v>224</v>
      </c>
      <c r="JF25" s="20">
        <v>213</v>
      </c>
      <c r="JG25" s="18"/>
      <c r="JH25" s="18"/>
      <c r="JI25" s="18"/>
      <c r="JJ25" s="18"/>
      <c r="JK25" s="18"/>
      <c r="JL25" s="18"/>
      <c r="JM25" s="18"/>
      <c r="JN25" s="18">
        <v>140</v>
      </c>
      <c r="JO25" s="18">
        <v>143</v>
      </c>
      <c r="JP25" s="18"/>
      <c r="JQ25" s="18"/>
      <c r="JR25" s="18"/>
      <c r="JS25" s="13">
        <v>109</v>
      </c>
      <c r="JT25" s="13">
        <v>158</v>
      </c>
      <c r="JU25" s="13">
        <v>173</v>
      </c>
      <c r="JV25" s="13"/>
      <c r="JW25" s="13"/>
      <c r="JX25" s="13"/>
      <c r="JY25" s="13"/>
      <c r="JZ25" s="13"/>
      <c r="KA25" s="13"/>
      <c r="KB25" s="13"/>
      <c r="KC25" s="36">
        <f t="shared" si="1"/>
        <v>0</v>
      </c>
      <c r="KD25" s="10">
        <f t="shared" si="2"/>
        <v>0</v>
      </c>
      <c r="KE25" s="10">
        <f>IFERROR(SUM(A25:$AG25)/COUNTIF(A25:$AG25, "&gt;0"),0)</f>
        <v>0</v>
      </c>
      <c r="KF25" s="10">
        <f t="shared" si="0"/>
        <v>187.58974358974359</v>
      </c>
    </row>
    <row r="26" spans="1:292">
      <c r="A26" s="8" t="s">
        <v>38</v>
      </c>
      <c r="B26" s="8"/>
      <c r="C26" s="8"/>
      <c r="D26" s="8"/>
      <c r="E26" s="8"/>
      <c r="F26" s="8"/>
      <c r="G26" s="8"/>
      <c r="H26" s="8"/>
      <c r="I26" s="8">
        <v>160</v>
      </c>
      <c r="J26" s="8">
        <v>195</v>
      </c>
      <c r="K26" s="8">
        <v>179</v>
      </c>
      <c r="L26" s="8"/>
      <c r="M26" s="8"/>
      <c r="N26" s="8"/>
      <c r="O26" s="8">
        <v>173</v>
      </c>
      <c r="P26" s="8">
        <v>179</v>
      </c>
      <c r="Q26" s="8">
        <v>139</v>
      </c>
      <c r="R26" s="8"/>
      <c r="S26" s="8"/>
      <c r="T26" s="8"/>
      <c r="U26" s="8">
        <v>145</v>
      </c>
      <c r="V26" s="8">
        <v>161</v>
      </c>
      <c r="W26" s="8">
        <v>192</v>
      </c>
      <c r="X26" s="18"/>
      <c r="Y26" s="18"/>
      <c r="Z26" s="18"/>
      <c r="AA26" s="18">
        <v>157</v>
      </c>
      <c r="AB26" s="18">
        <v>177</v>
      </c>
      <c r="AC26" s="18">
        <v>201</v>
      </c>
      <c r="AD26" s="18">
        <v>178</v>
      </c>
      <c r="AE26" s="18">
        <v>182</v>
      </c>
      <c r="AF26" s="18">
        <v>133</v>
      </c>
      <c r="AG26" s="18"/>
      <c r="AH26" s="18"/>
      <c r="AI26" s="18"/>
      <c r="AJ26" s="18"/>
      <c r="AK26" s="18"/>
      <c r="AL26" s="18"/>
      <c r="AM26" s="18"/>
      <c r="AN26" s="18">
        <v>169</v>
      </c>
      <c r="AO26" s="18">
        <v>145</v>
      </c>
      <c r="AP26" s="18">
        <v>147</v>
      </c>
      <c r="AQ26" s="18">
        <v>224</v>
      </c>
      <c r="AR26" s="18">
        <v>181</v>
      </c>
      <c r="AS26" s="18">
        <v>177</v>
      </c>
      <c r="AT26" s="18"/>
      <c r="AU26" s="18"/>
      <c r="AV26" s="18"/>
      <c r="AW26" s="18"/>
      <c r="AX26" s="18"/>
      <c r="AY26" s="18"/>
      <c r="AZ26" s="18"/>
      <c r="BA26" s="18"/>
      <c r="BB26" s="18"/>
      <c r="BC26" s="28">
        <v>113</v>
      </c>
      <c r="BD26" s="28">
        <v>200</v>
      </c>
      <c r="BE26" s="28">
        <v>154</v>
      </c>
      <c r="BF26" s="18"/>
      <c r="BG26" s="18"/>
      <c r="BH26" s="18"/>
      <c r="BI26" s="18"/>
      <c r="BJ26" s="18"/>
      <c r="BK26" s="18"/>
      <c r="BL26" s="18">
        <v>170</v>
      </c>
      <c r="BM26" s="18">
        <v>198</v>
      </c>
      <c r="BN26" s="18">
        <v>146</v>
      </c>
      <c r="BO26" s="18">
        <v>148</v>
      </c>
      <c r="BP26" s="18">
        <v>158</v>
      </c>
      <c r="BQ26" s="18">
        <v>166</v>
      </c>
      <c r="BR26" s="18">
        <v>166</v>
      </c>
      <c r="BS26" s="18">
        <v>136</v>
      </c>
      <c r="BT26" s="18">
        <v>143</v>
      </c>
      <c r="BU26" s="18"/>
      <c r="BV26" s="18"/>
      <c r="BW26" s="18"/>
      <c r="BX26" s="18">
        <v>131</v>
      </c>
      <c r="BY26" s="18">
        <v>123</v>
      </c>
      <c r="BZ26" s="18">
        <v>161</v>
      </c>
      <c r="CA26" s="18">
        <v>122</v>
      </c>
      <c r="CB26" s="18">
        <v>137</v>
      </c>
      <c r="CC26" s="18">
        <v>145</v>
      </c>
      <c r="CD26" s="18">
        <v>162</v>
      </c>
      <c r="CE26" s="18">
        <v>143</v>
      </c>
      <c r="CF26" s="18">
        <v>171</v>
      </c>
      <c r="CG26" s="18"/>
      <c r="CH26" s="18"/>
      <c r="CI26" s="18"/>
      <c r="CJ26" s="18">
        <v>159</v>
      </c>
      <c r="CK26" s="19">
        <v>201</v>
      </c>
      <c r="CL26" s="18">
        <v>152</v>
      </c>
      <c r="CM26" s="18">
        <v>165</v>
      </c>
      <c r="CN26" s="18">
        <v>135</v>
      </c>
      <c r="CO26" s="18">
        <v>150</v>
      </c>
      <c r="CP26" s="18"/>
      <c r="CQ26" s="18"/>
      <c r="CR26" s="18"/>
      <c r="CS26" s="18"/>
      <c r="CT26" s="18"/>
      <c r="CU26" s="18"/>
      <c r="CV26" s="20">
        <v>202</v>
      </c>
      <c r="CW26" s="18">
        <v>191</v>
      </c>
      <c r="CX26" s="18">
        <v>183</v>
      </c>
      <c r="CY26" s="18">
        <v>176</v>
      </c>
      <c r="CZ26" s="18">
        <v>155</v>
      </c>
      <c r="DA26" s="18">
        <v>187</v>
      </c>
      <c r="DB26" s="18"/>
      <c r="DC26" s="18"/>
      <c r="DD26" s="18"/>
      <c r="DE26" s="18"/>
      <c r="DF26" s="18"/>
      <c r="DG26" s="18"/>
      <c r="DH26" s="18"/>
      <c r="DI26" s="18">
        <v>150</v>
      </c>
      <c r="DJ26" s="18">
        <v>126</v>
      </c>
      <c r="DK26" s="18">
        <v>166</v>
      </c>
      <c r="DL26" s="18"/>
      <c r="DM26" s="18"/>
      <c r="DN26" s="18"/>
      <c r="DO26" s="18"/>
      <c r="DP26" s="18"/>
      <c r="DQ26" s="18"/>
      <c r="DR26" s="18"/>
      <c r="DS26" s="18"/>
      <c r="DT26" s="18">
        <v>160</v>
      </c>
      <c r="DU26" s="18">
        <v>138</v>
      </c>
      <c r="DV26" s="18">
        <v>169</v>
      </c>
      <c r="DW26" s="18"/>
      <c r="DX26" s="18"/>
      <c r="DY26" s="18"/>
      <c r="DZ26" s="18"/>
      <c r="EA26" s="18">
        <v>136</v>
      </c>
      <c r="EB26" s="18">
        <v>128</v>
      </c>
      <c r="EC26" s="18"/>
      <c r="ED26" s="18">
        <v>155</v>
      </c>
      <c r="EE26" s="18">
        <v>179</v>
      </c>
      <c r="EF26" s="18">
        <v>167</v>
      </c>
      <c r="EG26" s="18"/>
      <c r="EH26" s="18"/>
      <c r="EI26" s="18"/>
      <c r="EJ26" s="18"/>
      <c r="EK26" s="18"/>
      <c r="EL26" s="18"/>
      <c r="EM26" s="18"/>
      <c r="EN26" s="18"/>
      <c r="EO26" s="18"/>
      <c r="EP26" s="18">
        <v>196</v>
      </c>
      <c r="EQ26" s="18">
        <v>132</v>
      </c>
      <c r="ER26" s="18">
        <v>144</v>
      </c>
      <c r="ES26" s="18">
        <v>146</v>
      </c>
      <c r="ET26" s="18">
        <v>130</v>
      </c>
      <c r="EU26" s="18">
        <v>166</v>
      </c>
      <c r="EV26" s="18">
        <v>148</v>
      </c>
      <c r="EW26" s="20">
        <v>212</v>
      </c>
      <c r="EX26" s="20">
        <v>212</v>
      </c>
      <c r="EY26" s="18">
        <v>140</v>
      </c>
      <c r="EZ26" s="18">
        <v>125</v>
      </c>
      <c r="FA26" s="18"/>
      <c r="FB26" s="18"/>
      <c r="FC26" s="18"/>
      <c r="FD26" s="18">
        <v>110</v>
      </c>
      <c r="FE26" s="18">
        <v>137</v>
      </c>
      <c r="FF26" s="18">
        <v>130</v>
      </c>
      <c r="FG26" s="18"/>
      <c r="FH26" s="18">
        <v>190</v>
      </c>
      <c r="FI26" s="18">
        <v>135</v>
      </c>
      <c r="FJ26" s="18"/>
      <c r="FK26" s="18"/>
      <c r="FL26" s="18"/>
      <c r="FM26" s="18"/>
      <c r="FN26" s="18"/>
      <c r="FO26" s="18"/>
      <c r="FP26" s="18">
        <v>170</v>
      </c>
      <c r="FQ26" s="18">
        <v>134</v>
      </c>
      <c r="FR26" s="18">
        <v>152</v>
      </c>
      <c r="FS26" s="18"/>
      <c r="FT26" s="18">
        <v>147</v>
      </c>
      <c r="FU26" s="18">
        <v>121</v>
      </c>
      <c r="FV26" s="18">
        <v>133</v>
      </c>
      <c r="FW26" s="18">
        <v>142</v>
      </c>
      <c r="FX26" s="18">
        <v>131</v>
      </c>
      <c r="FY26" s="18">
        <v>138</v>
      </c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>
        <v>143</v>
      </c>
      <c r="JH26" s="18">
        <v>139</v>
      </c>
      <c r="JI26" s="18">
        <v>132</v>
      </c>
      <c r="JJ26" s="18"/>
      <c r="JK26" s="18"/>
      <c r="JL26" s="18"/>
      <c r="JM26" s="18"/>
      <c r="JN26" s="18"/>
      <c r="JO26" s="18"/>
      <c r="JP26" s="18"/>
      <c r="JQ26" s="18"/>
      <c r="JR26" s="18"/>
      <c r="JS26" s="13">
        <v>142</v>
      </c>
      <c r="JT26" s="13">
        <v>158</v>
      </c>
      <c r="JU26" s="13">
        <v>146</v>
      </c>
      <c r="JV26" s="13"/>
      <c r="JW26" s="13"/>
      <c r="JX26" s="13"/>
      <c r="JY26" s="13">
        <v>149</v>
      </c>
      <c r="JZ26" s="13">
        <v>124</v>
      </c>
      <c r="KA26" s="13">
        <v>110</v>
      </c>
      <c r="KB26" s="13"/>
      <c r="KC26" s="36">
        <f t="shared" si="1"/>
        <v>0</v>
      </c>
      <c r="KD26" s="10">
        <f t="shared" si="2"/>
        <v>0</v>
      </c>
      <c r="KE26" s="10">
        <f>IFERROR(SUM(A26:$AG26)/COUNTIF(A26:$AG26, "&gt;0"),0)</f>
        <v>170.06666666666666</v>
      </c>
      <c r="KF26" s="10">
        <f t="shared" si="0"/>
        <v>156.37373737373738</v>
      </c>
    </row>
    <row r="27" spans="1:292">
      <c r="A27" s="8" t="s">
        <v>32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>
        <v>124</v>
      </c>
      <c r="BP27" s="18">
        <v>125</v>
      </c>
      <c r="BQ27" s="18">
        <v>146</v>
      </c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>
        <v>135</v>
      </c>
      <c r="CK27" s="18">
        <v>121</v>
      </c>
      <c r="CL27" s="18">
        <v>173</v>
      </c>
      <c r="CM27" s="18"/>
      <c r="CN27" s="18"/>
      <c r="CO27" s="18"/>
      <c r="CP27" s="18">
        <v>158</v>
      </c>
      <c r="CQ27" s="18">
        <v>159</v>
      </c>
      <c r="CR27" s="18">
        <v>157</v>
      </c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>
        <v>141</v>
      </c>
      <c r="FE27" s="18">
        <v>155</v>
      </c>
      <c r="FF27" s="18">
        <v>145</v>
      </c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>
        <v>152</v>
      </c>
      <c r="GS27" s="18">
        <v>149</v>
      </c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  <c r="IW27" s="18"/>
      <c r="IX27" s="18"/>
      <c r="IY27" s="18"/>
      <c r="IZ27" s="18"/>
      <c r="JA27" s="18">
        <v>160</v>
      </c>
      <c r="JB27" s="18">
        <v>193</v>
      </c>
      <c r="JC27" s="18">
        <v>157</v>
      </c>
      <c r="JD27" s="18"/>
      <c r="JE27" s="18"/>
      <c r="JF27" s="18"/>
      <c r="JG27" s="18"/>
      <c r="JH27" s="18"/>
      <c r="JI27" s="18"/>
      <c r="JJ27" s="18"/>
      <c r="JK27" s="18"/>
      <c r="JL27" s="18"/>
      <c r="JM27" s="18">
        <v>175</v>
      </c>
      <c r="JN27" s="18">
        <v>145</v>
      </c>
      <c r="JO27" s="18">
        <v>141</v>
      </c>
      <c r="JP27" s="18"/>
      <c r="JQ27" s="18"/>
      <c r="JR27" s="18"/>
      <c r="JS27" s="13"/>
      <c r="JT27" s="13"/>
      <c r="JU27" s="13"/>
      <c r="JV27" s="13">
        <v>136</v>
      </c>
      <c r="JW27" s="13">
        <v>154</v>
      </c>
      <c r="JX27" s="13">
        <v>110</v>
      </c>
      <c r="JY27" s="13"/>
      <c r="JZ27" s="13"/>
      <c r="KA27" s="13"/>
      <c r="KB27" s="13"/>
      <c r="KC27" s="36">
        <f t="shared" si="1"/>
        <v>0</v>
      </c>
      <c r="KD27" s="10">
        <f t="shared" si="2"/>
        <v>0</v>
      </c>
      <c r="KE27" s="10">
        <f>IFERROR(SUM(A27:$AG27)/COUNTIF(A27:$AG27, "&gt;0"),0)</f>
        <v>0</v>
      </c>
      <c r="KF27" s="10">
        <f t="shared" si="0"/>
        <v>148.30434782608697</v>
      </c>
    </row>
    <row r="28" spans="1:292" ht="16.5" hidden="1" customHeight="1">
      <c r="A28" s="8" t="s">
        <v>29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>
        <v>79</v>
      </c>
      <c r="BA28" s="18">
        <v>110</v>
      </c>
      <c r="BB28" s="18">
        <v>112</v>
      </c>
      <c r="BC28" s="28">
        <v>94</v>
      </c>
      <c r="BD28" s="28">
        <v>72</v>
      </c>
      <c r="BE28" s="28">
        <v>106</v>
      </c>
      <c r="BF28" s="18">
        <v>63</v>
      </c>
      <c r="BG28" s="18">
        <v>111</v>
      </c>
      <c r="BH28" s="18">
        <v>92</v>
      </c>
      <c r="BI28" s="18"/>
      <c r="BJ28" s="18"/>
      <c r="BK28" s="18"/>
      <c r="BL28" s="18"/>
      <c r="BM28" s="18"/>
      <c r="BN28" s="18"/>
      <c r="BO28" s="18"/>
      <c r="BP28" s="18"/>
      <c r="BQ28" s="18"/>
      <c r="BR28" s="18">
        <v>88</v>
      </c>
      <c r="BS28" s="18">
        <v>73</v>
      </c>
      <c r="BT28" s="18">
        <v>81</v>
      </c>
      <c r="BU28" s="18"/>
      <c r="BV28" s="18"/>
      <c r="BW28" s="18"/>
      <c r="BX28" s="18">
        <v>54</v>
      </c>
      <c r="BY28" s="18">
        <v>69</v>
      </c>
      <c r="BZ28" s="18">
        <v>92</v>
      </c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  <c r="JF28" s="18"/>
      <c r="JG28" s="18"/>
      <c r="JH28" s="18"/>
      <c r="JI28" s="18"/>
      <c r="JJ28" s="18"/>
      <c r="JK28" s="18"/>
      <c r="JL28" s="18"/>
      <c r="JM28" s="18"/>
      <c r="JN28" s="18"/>
      <c r="JO28" s="18"/>
      <c r="JP28" s="18"/>
      <c r="JQ28" s="18"/>
      <c r="JR28" s="20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36">
        <f t="shared" si="1"/>
        <v>0</v>
      </c>
      <c r="KD28" s="10">
        <f t="shared" si="2"/>
        <v>0</v>
      </c>
      <c r="KE28" s="10">
        <f>IFERROR(SUM(A28:$AG28)/COUNTIF(A28:$AG28, "&gt;0"),0)</f>
        <v>0</v>
      </c>
      <c r="KF28" s="10">
        <f t="shared" si="0"/>
        <v>86.4</v>
      </c>
    </row>
    <row r="29" spans="1:292">
      <c r="A29" s="8" t="s">
        <v>26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>
        <v>81</v>
      </c>
      <c r="W29" s="8">
        <v>135</v>
      </c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>
        <v>120</v>
      </c>
      <c r="AR29" s="18">
        <v>100</v>
      </c>
      <c r="AS29" s="18">
        <v>85</v>
      </c>
      <c r="AT29" s="18">
        <v>77</v>
      </c>
      <c r="AU29" s="18">
        <v>104</v>
      </c>
      <c r="AV29" s="18">
        <v>106</v>
      </c>
      <c r="AW29" s="18"/>
      <c r="AX29" s="18"/>
      <c r="AY29" s="18"/>
      <c r="AZ29" s="18">
        <v>84</v>
      </c>
      <c r="BA29" s="18">
        <v>113</v>
      </c>
      <c r="BB29" s="18"/>
      <c r="BC29" s="28">
        <v>87</v>
      </c>
      <c r="BD29" s="28">
        <v>84</v>
      </c>
      <c r="BE29" s="28">
        <v>126</v>
      </c>
      <c r="BF29" s="18"/>
      <c r="BG29" s="18">
        <v>88</v>
      </c>
      <c r="BH29" s="18">
        <v>68</v>
      </c>
      <c r="BI29" s="18"/>
      <c r="BJ29" s="18"/>
      <c r="BK29" s="18"/>
      <c r="BL29" s="18">
        <v>107</v>
      </c>
      <c r="BM29" s="18">
        <v>82</v>
      </c>
      <c r="BN29" s="18">
        <v>101</v>
      </c>
      <c r="BO29" s="18">
        <v>69</v>
      </c>
      <c r="BP29" s="18">
        <v>65</v>
      </c>
      <c r="BQ29" s="18">
        <v>116</v>
      </c>
      <c r="BR29" s="18"/>
      <c r="BS29" s="18"/>
      <c r="BT29" s="18"/>
      <c r="BU29" s="18"/>
      <c r="BV29" s="18">
        <v>93</v>
      </c>
      <c r="BW29" s="18">
        <v>61</v>
      </c>
      <c r="BX29" s="18">
        <v>46</v>
      </c>
      <c r="BY29" s="18">
        <v>77</v>
      </c>
      <c r="BZ29" s="18">
        <v>84</v>
      </c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  <c r="JF29" s="18"/>
      <c r="JG29" s="18"/>
      <c r="JH29" s="18"/>
      <c r="JI29" s="18"/>
      <c r="JJ29" s="18"/>
      <c r="JK29" s="18"/>
      <c r="JL29" s="18"/>
      <c r="JM29" s="18"/>
      <c r="JN29" s="18"/>
      <c r="JO29" s="18"/>
      <c r="JP29" s="18"/>
      <c r="JQ29" s="18"/>
      <c r="JR29" s="20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36">
        <f t="shared" si="1"/>
        <v>0</v>
      </c>
      <c r="KD29" s="10">
        <f t="shared" si="2"/>
        <v>0</v>
      </c>
      <c r="KE29" s="10">
        <f>IFERROR(SUM(A29:$AG29)/COUNTIF(A29:$AG29, "&gt;0"),0)</f>
        <v>108</v>
      </c>
      <c r="KF29" s="10">
        <f t="shared" si="0"/>
        <v>90.730769230769226</v>
      </c>
    </row>
    <row r="30" spans="1:292">
      <c r="A30" s="9" t="s">
        <v>30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>
        <v>147</v>
      </c>
      <c r="N30" s="9">
        <v>146</v>
      </c>
      <c r="O30" s="9">
        <v>128</v>
      </c>
      <c r="P30" s="9">
        <v>158</v>
      </c>
      <c r="Q30" s="9">
        <v>132</v>
      </c>
      <c r="R30" s="9">
        <v>170</v>
      </c>
      <c r="S30" s="9">
        <v>113</v>
      </c>
      <c r="T30" s="9">
        <v>108</v>
      </c>
      <c r="U30" s="9">
        <v>138</v>
      </c>
      <c r="V30" s="9">
        <v>138</v>
      </c>
      <c r="W30" s="9">
        <v>153</v>
      </c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8">
        <v>153</v>
      </c>
      <c r="BD30" s="28">
        <v>168</v>
      </c>
      <c r="BE30" s="28">
        <v>164</v>
      </c>
      <c r="BF30" s="22"/>
      <c r="BG30" s="22"/>
      <c r="BH30" s="22"/>
      <c r="BI30" s="22">
        <v>164</v>
      </c>
      <c r="BJ30" s="22">
        <v>124</v>
      </c>
      <c r="BK30" s="22">
        <v>145</v>
      </c>
      <c r="BL30" s="22"/>
      <c r="BM30" s="22"/>
      <c r="BN30" s="22"/>
      <c r="BO30" s="18">
        <v>111</v>
      </c>
      <c r="BP30" s="18">
        <v>169</v>
      </c>
      <c r="BQ30" s="18">
        <v>156</v>
      </c>
      <c r="BR30" s="22"/>
      <c r="BS30" s="22">
        <v>136</v>
      </c>
      <c r="BT30" s="22">
        <v>158</v>
      </c>
      <c r="BU30" s="22"/>
      <c r="BV30" s="22"/>
      <c r="BW30" s="22"/>
      <c r="BX30" s="22">
        <v>197</v>
      </c>
      <c r="BY30" s="22">
        <v>105</v>
      </c>
      <c r="BZ30" s="22">
        <v>131</v>
      </c>
      <c r="CA30" s="22">
        <v>144</v>
      </c>
      <c r="CB30" s="22">
        <v>104</v>
      </c>
      <c r="CC30" s="22">
        <v>172</v>
      </c>
      <c r="CD30" s="22">
        <v>157</v>
      </c>
      <c r="CE30" s="22">
        <v>112</v>
      </c>
      <c r="CF30" s="22">
        <v>125</v>
      </c>
      <c r="CG30" s="22"/>
      <c r="CH30" s="22"/>
      <c r="CI30" s="22"/>
      <c r="CJ30" s="22"/>
      <c r="CK30" s="22">
        <v>122</v>
      </c>
      <c r="CL30" s="22">
        <v>176</v>
      </c>
      <c r="CM30" s="20">
        <v>203</v>
      </c>
      <c r="CN30" s="22">
        <v>148</v>
      </c>
      <c r="CO30" s="22">
        <v>161</v>
      </c>
      <c r="CP30" s="22">
        <v>111</v>
      </c>
      <c r="CQ30" s="22">
        <v>129</v>
      </c>
      <c r="CR30" s="22">
        <v>139</v>
      </c>
      <c r="CS30" s="22"/>
      <c r="CT30" s="22"/>
      <c r="CU30" s="22"/>
      <c r="CV30" s="22">
        <v>113</v>
      </c>
      <c r="CW30" s="22">
        <v>153</v>
      </c>
      <c r="CX30" s="22">
        <v>166</v>
      </c>
      <c r="CY30" s="22">
        <v>148</v>
      </c>
      <c r="CZ30" s="22">
        <v>151</v>
      </c>
      <c r="DA30" s="22">
        <v>187</v>
      </c>
      <c r="DB30" s="22"/>
      <c r="DC30" s="22">
        <v>130</v>
      </c>
      <c r="DD30" s="22">
        <v>123</v>
      </c>
      <c r="DE30" s="22"/>
      <c r="DF30" s="22"/>
      <c r="DG30" s="22"/>
      <c r="DH30" s="22"/>
      <c r="DI30" s="22">
        <v>121</v>
      </c>
      <c r="DJ30" s="22">
        <v>114</v>
      </c>
      <c r="DK30" s="22">
        <v>148</v>
      </c>
      <c r="DL30" s="22"/>
      <c r="DM30" s="22"/>
      <c r="DN30" s="22"/>
      <c r="DO30" s="22">
        <v>166</v>
      </c>
      <c r="DP30" s="22">
        <v>95</v>
      </c>
      <c r="DQ30" s="22"/>
      <c r="DR30" s="22"/>
      <c r="DS30" s="22"/>
      <c r="DT30" s="22"/>
      <c r="DU30" s="22">
        <v>144</v>
      </c>
      <c r="DV30" s="22">
        <v>139</v>
      </c>
      <c r="DW30" s="20">
        <v>220</v>
      </c>
      <c r="DX30" s="22">
        <v>146</v>
      </c>
      <c r="DY30" s="22">
        <v>128</v>
      </c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>
        <v>136</v>
      </c>
      <c r="EM30" s="22">
        <v>150</v>
      </c>
      <c r="EN30" s="22">
        <v>155</v>
      </c>
      <c r="EO30" s="22">
        <v>152</v>
      </c>
      <c r="EP30" s="22">
        <v>139</v>
      </c>
      <c r="EQ30" s="22">
        <v>116</v>
      </c>
      <c r="ER30" s="22"/>
      <c r="ES30" s="22"/>
      <c r="ET30" s="22">
        <v>132</v>
      </c>
      <c r="EU30" s="22">
        <v>161</v>
      </c>
      <c r="EV30" s="22">
        <v>159</v>
      </c>
      <c r="EW30" s="22">
        <v>103</v>
      </c>
      <c r="EX30" s="22">
        <v>159</v>
      </c>
      <c r="EY30" s="22">
        <v>118</v>
      </c>
      <c r="EZ30" s="22"/>
      <c r="FA30" s="22"/>
      <c r="FB30" s="22"/>
      <c r="FC30" s="22"/>
      <c r="FD30" s="22">
        <v>147</v>
      </c>
      <c r="FE30" s="22">
        <v>125</v>
      </c>
      <c r="FF30" s="22">
        <v>155</v>
      </c>
      <c r="FG30" s="22"/>
      <c r="FH30" s="22"/>
      <c r="FI30" s="22"/>
      <c r="FJ30" s="22">
        <v>109</v>
      </c>
      <c r="FK30" s="22">
        <v>135</v>
      </c>
      <c r="FL30" s="22">
        <v>107</v>
      </c>
      <c r="FM30" s="22"/>
      <c r="FN30" s="22"/>
      <c r="FO30" s="22"/>
      <c r="FP30" s="22"/>
      <c r="FQ30" s="22"/>
      <c r="FR30" s="22">
        <v>156</v>
      </c>
      <c r="FS30" s="14"/>
      <c r="FT30" s="22">
        <v>170</v>
      </c>
      <c r="FU30" s="22">
        <v>154</v>
      </c>
      <c r="FV30" s="22">
        <v>148</v>
      </c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1">
        <v>200</v>
      </c>
      <c r="GS30" s="22">
        <v>145</v>
      </c>
      <c r="GT30" s="18">
        <v>126</v>
      </c>
      <c r="GU30" s="18">
        <v>125</v>
      </c>
      <c r="GV30" s="18">
        <v>101</v>
      </c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>
        <v>138</v>
      </c>
      <c r="HI30" s="18">
        <v>127</v>
      </c>
      <c r="HJ30" s="18">
        <v>152</v>
      </c>
      <c r="HK30" s="18">
        <v>132</v>
      </c>
      <c r="HL30" s="18">
        <v>131</v>
      </c>
      <c r="HM30" s="18">
        <v>138</v>
      </c>
      <c r="HN30" s="18">
        <v>156</v>
      </c>
      <c r="HO30" s="18">
        <v>127</v>
      </c>
      <c r="HP30" s="18">
        <v>136</v>
      </c>
      <c r="HQ30" s="18">
        <v>106</v>
      </c>
      <c r="HR30" s="18">
        <v>130</v>
      </c>
      <c r="HS30" s="18">
        <v>140</v>
      </c>
      <c r="HT30" s="18">
        <v>177</v>
      </c>
      <c r="HU30" s="18">
        <v>140</v>
      </c>
      <c r="HV30" s="18">
        <v>133</v>
      </c>
      <c r="HW30" s="18">
        <v>145</v>
      </c>
      <c r="HX30" s="18">
        <v>125</v>
      </c>
      <c r="HY30" s="18">
        <v>134</v>
      </c>
      <c r="HZ30" s="18"/>
      <c r="IA30" s="18"/>
      <c r="IB30" s="18"/>
      <c r="IC30" s="18"/>
      <c r="ID30" s="18"/>
      <c r="IE30" s="20">
        <v>216</v>
      </c>
      <c r="IF30" s="18">
        <v>113</v>
      </c>
      <c r="IG30" s="18">
        <v>142</v>
      </c>
      <c r="IH30" s="18"/>
      <c r="II30" s="18">
        <v>137</v>
      </c>
      <c r="IJ30" s="18">
        <v>87</v>
      </c>
      <c r="IK30" s="18">
        <v>125</v>
      </c>
      <c r="IL30" s="18"/>
      <c r="IM30" s="18"/>
      <c r="IN30" s="18">
        <v>149</v>
      </c>
      <c r="IO30" s="18">
        <v>127</v>
      </c>
      <c r="IP30" s="18">
        <v>103</v>
      </c>
      <c r="IQ30" s="18">
        <v>108</v>
      </c>
      <c r="IR30" s="18">
        <v>145</v>
      </c>
      <c r="IS30" s="18">
        <v>154</v>
      </c>
      <c r="IT30" s="18">
        <v>124</v>
      </c>
      <c r="IU30" s="18">
        <v>125</v>
      </c>
      <c r="IV30" s="18">
        <v>153</v>
      </c>
      <c r="IW30" s="18">
        <v>136</v>
      </c>
      <c r="IX30" s="18">
        <v>140</v>
      </c>
      <c r="IY30" s="18">
        <v>126</v>
      </c>
      <c r="IZ30" s="18">
        <v>130</v>
      </c>
      <c r="JA30" s="18">
        <v>143</v>
      </c>
      <c r="JB30" s="18">
        <v>108</v>
      </c>
      <c r="JC30" s="18">
        <v>119</v>
      </c>
      <c r="JD30" s="18">
        <v>125</v>
      </c>
      <c r="JE30" s="18">
        <v>116</v>
      </c>
      <c r="JF30" s="18">
        <v>141</v>
      </c>
      <c r="JG30" s="18">
        <v>94</v>
      </c>
      <c r="JH30" s="18">
        <v>121</v>
      </c>
      <c r="JI30" s="18">
        <v>155</v>
      </c>
      <c r="JJ30" s="18">
        <v>173</v>
      </c>
      <c r="JK30" s="18">
        <v>112</v>
      </c>
      <c r="JL30" s="18">
        <v>94</v>
      </c>
      <c r="JM30" s="18">
        <v>144</v>
      </c>
      <c r="JN30" s="18">
        <v>98</v>
      </c>
      <c r="JO30" s="18">
        <v>146</v>
      </c>
      <c r="JP30" s="18">
        <v>98</v>
      </c>
      <c r="JQ30" s="18">
        <v>119</v>
      </c>
      <c r="JR30" s="18">
        <v>109</v>
      </c>
      <c r="JS30" s="13"/>
      <c r="JT30" s="13"/>
      <c r="JU30" s="13"/>
      <c r="JV30" s="13"/>
      <c r="JW30" s="13"/>
      <c r="JX30" s="13"/>
      <c r="JY30" s="13">
        <v>98</v>
      </c>
      <c r="JZ30" s="13">
        <v>123</v>
      </c>
      <c r="KA30" s="13">
        <v>142</v>
      </c>
      <c r="KB30" s="13"/>
      <c r="KC30" s="36">
        <f t="shared" si="1"/>
        <v>0</v>
      </c>
      <c r="KD30" s="10">
        <f t="shared" si="2"/>
        <v>0</v>
      </c>
      <c r="KE30" s="10">
        <f>IFERROR(SUM(A30:$AG30)/COUNTIF(A30:$AG30, "&gt;0"),0)</f>
        <v>139.18181818181819</v>
      </c>
      <c r="KF30" s="10">
        <f t="shared" si="0"/>
        <v>137.85211267605635</v>
      </c>
    </row>
    <row r="31" spans="1:292">
      <c r="A31" s="8" t="s">
        <v>18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8"/>
      <c r="Y31" s="18"/>
      <c r="Z31" s="18"/>
      <c r="AA31" s="18"/>
      <c r="AB31" s="18"/>
      <c r="AC31" s="18"/>
      <c r="AD31" s="18">
        <v>143</v>
      </c>
      <c r="AE31" s="18">
        <v>144</v>
      </c>
      <c r="AF31" s="18">
        <v>120</v>
      </c>
      <c r="AG31" s="18"/>
      <c r="AH31" s="18">
        <v>130</v>
      </c>
      <c r="AI31" s="18">
        <v>148</v>
      </c>
      <c r="AJ31" s="18">
        <v>144</v>
      </c>
      <c r="AK31" s="18"/>
      <c r="AL31" s="18"/>
      <c r="AM31" s="18"/>
      <c r="AN31" s="18"/>
      <c r="AO31" s="18"/>
      <c r="AP31" s="18"/>
      <c r="AQ31" s="18">
        <v>145</v>
      </c>
      <c r="AR31" s="18">
        <v>133</v>
      </c>
      <c r="AS31" s="18">
        <v>180</v>
      </c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>
        <v>125</v>
      </c>
      <c r="FK31" s="18">
        <v>162</v>
      </c>
      <c r="FL31" s="18">
        <v>147</v>
      </c>
      <c r="FM31" s="18">
        <v>117</v>
      </c>
      <c r="FN31" s="18">
        <v>117</v>
      </c>
      <c r="FO31" s="18"/>
      <c r="FP31" s="28">
        <v>142</v>
      </c>
      <c r="FQ31" s="28">
        <v>149</v>
      </c>
      <c r="FR31" s="28"/>
      <c r="FS31" s="28"/>
      <c r="FT31" s="28"/>
      <c r="FU31" s="28"/>
      <c r="FV31" s="28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36">
        <f t="shared" si="1"/>
        <v>0</v>
      </c>
      <c r="KD31" s="10">
        <f t="shared" si="2"/>
        <v>0</v>
      </c>
      <c r="KE31" s="10">
        <f>IFERROR(SUM(A31:$AG31)/COUNTIF(A31:$AG31, "&gt;0"),0)</f>
        <v>135.66666666666666</v>
      </c>
      <c r="KF31" s="10">
        <f t="shared" si="0"/>
        <v>140.375</v>
      </c>
    </row>
    <row r="32" spans="1:292">
      <c r="A32" s="8" t="s">
        <v>16</v>
      </c>
      <c r="B32" s="8"/>
      <c r="C32" s="8"/>
      <c r="D32" s="8"/>
      <c r="E32" s="8"/>
      <c r="F32" s="8"/>
      <c r="G32" s="8"/>
      <c r="H32" s="8"/>
      <c r="I32" s="8">
        <v>144</v>
      </c>
      <c r="J32" s="8">
        <v>143</v>
      </c>
      <c r="K32" s="8">
        <v>141</v>
      </c>
      <c r="L32" s="8">
        <v>166</v>
      </c>
      <c r="M32" s="8">
        <v>151</v>
      </c>
      <c r="N32" s="8">
        <v>158</v>
      </c>
      <c r="O32" s="8"/>
      <c r="P32" s="8"/>
      <c r="Q32" s="8"/>
      <c r="R32" s="8">
        <v>135</v>
      </c>
      <c r="S32" s="8">
        <v>158</v>
      </c>
      <c r="T32" s="8">
        <v>168</v>
      </c>
      <c r="U32" s="8"/>
      <c r="V32" s="8"/>
      <c r="W32" s="8"/>
      <c r="X32" s="18"/>
      <c r="Y32" s="18"/>
      <c r="Z32" s="18"/>
      <c r="AA32" s="18"/>
      <c r="AB32" s="18"/>
      <c r="AC32" s="18"/>
      <c r="AD32" s="18"/>
      <c r="AE32" s="18">
        <v>181</v>
      </c>
      <c r="AF32" s="18">
        <v>192</v>
      </c>
      <c r="AG32" s="18"/>
      <c r="AH32" s="18"/>
      <c r="AI32" s="18"/>
      <c r="AJ32" s="18"/>
      <c r="AK32" s="18">
        <v>128</v>
      </c>
      <c r="AL32" s="18">
        <v>135</v>
      </c>
      <c r="AM32" s="18">
        <v>163</v>
      </c>
      <c r="AN32" s="18"/>
      <c r="AO32" s="18"/>
      <c r="AP32" s="18"/>
      <c r="AQ32" s="18">
        <v>138</v>
      </c>
      <c r="AR32" s="18">
        <v>144</v>
      </c>
      <c r="AS32" s="18">
        <v>134</v>
      </c>
      <c r="AT32" s="18"/>
      <c r="AU32" s="18"/>
      <c r="AV32" s="18"/>
      <c r="AW32" s="18"/>
      <c r="AX32" s="18"/>
      <c r="AY32" s="18"/>
      <c r="AZ32" s="18"/>
      <c r="BA32" s="18"/>
      <c r="BB32" s="18"/>
      <c r="BC32" s="28">
        <v>136</v>
      </c>
      <c r="BD32" s="28">
        <v>158</v>
      </c>
      <c r="BE32" s="28">
        <v>108</v>
      </c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>
        <v>125</v>
      </c>
      <c r="BS32" s="18">
        <v>113</v>
      </c>
      <c r="BT32" s="18">
        <v>141</v>
      </c>
      <c r="BU32" s="18"/>
      <c r="BV32" s="18"/>
      <c r="BW32" s="18"/>
      <c r="BX32" s="18">
        <v>111</v>
      </c>
      <c r="BY32" s="18">
        <v>113</v>
      </c>
      <c r="BZ32" s="18">
        <v>157</v>
      </c>
      <c r="CA32" s="18">
        <v>158</v>
      </c>
      <c r="CB32" s="18">
        <v>110</v>
      </c>
      <c r="CC32" s="18">
        <v>160</v>
      </c>
      <c r="CD32" s="18"/>
      <c r="CE32" s="18"/>
      <c r="CF32" s="18"/>
      <c r="CG32" s="18">
        <v>206</v>
      </c>
      <c r="CH32" s="18">
        <v>184</v>
      </c>
      <c r="CI32" s="18">
        <v>143</v>
      </c>
      <c r="CJ32" s="18">
        <v>175</v>
      </c>
      <c r="CK32" s="18">
        <v>136</v>
      </c>
      <c r="CL32" s="18">
        <v>137</v>
      </c>
      <c r="CM32" s="18"/>
      <c r="CN32" s="18"/>
      <c r="CO32" s="18"/>
      <c r="CP32" s="18"/>
      <c r="CQ32" s="18"/>
      <c r="CR32" s="18"/>
      <c r="CS32" s="18">
        <v>189</v>
      </c>
      <c r="CT32" s="18">
        <v>165</v>
      </c>
      <c r="CU32" s="18">
        <v>158</v>
      </c>
      <c r="CV32" s="18"/>
      <c r="CW32" s="18"/>
      <c r="CX32" s="18"/>
      <c r="CY32" s="18">
        <v>141</v>
      </c>
      <c r="CZ32" s="18">
        <v>146</v>
      </c>
      <c r="DA32" s="18">
        <v>142</v>
      </c>
      <c r="DB32" s="18">
        <v>135</v>
      </c>
      <c r="DC32" s="20">
        <v>212</v>
      </c>
      <c r="DD32" s="18">
        <v>123</v>
      </c>
      <c r="DE32" s="18"/>
      <c r="DF32" s="18"/>
      <c r="DG32" s="18"/>
      <c r="DH32" s="18"/>
      <c r="DI32" s="18"/>
      <c r="DJ32" s="18"/>
      <c r="DK32" s="18"/>
      <c r="DL32" s="18">
        <v>162</v>
      </c>
      <c r="DM32" s="20">
        <v>236</v>
      </c>
      <c r="DN32" s="18">
        <v>169</v>
      </c>
      <c r="DO32" s="18">
        <v>148</v>
      </c>
      <c r="DP32" s="18">
        <v>134</v>
      </c>
      <c r="DQ32" s="18"/>
      <c r="DR32" s="18"/>
      <c r="DS32" s="18"/>
      <c r="DT32" s="18"/>
      <c r="DU32" s="18"/>
      <c r="DV32" s="18"/>
      <c r="DW32" s="18">
        <v>127</v>
      </c>
      <c r="DX32" s="18">
        <v>136</v>
      </c>
      <c r="DY32" s="18">
        <v>162</v>
      </c>
      <c r="DZ32" s="20">
        <v>212</v>
      </c>
      <c r="EA32" s="18">
        <v>144</v>
      </c>
      <c r="EB32" s="18">
        <v>165</v>
      </c>
      <c r="EC32" s="18"/>
      <c r="ED32" s="18"/>
      <c r="EE32" s="18"/>
      <c r="EF32" s="18"/>
      <c r="EG32" s="18"/>
      <c r="EH32" s="18"/>
      <c r="EI32" s="18"/>
      <c r="EJ32" s="18"/>
      <c r="EK32" s="18"/>
      <c r="EL32" s="18">
        <v>158</v>
      </c>
      <c r="EM32" s="20">
        <v>221</v>
      </c>
      <c r="EN32" s="18">
        <v>176</v>
      </c>
      <c r="EO32" s="18">
        <v>129</v>
      </c>
      <c r="EP32" s="18">
        <v>195</v>
      </c>
      <c r="EQ32" s="18">
        <v>190</v>
      </c>
      <c r="ER32" s="18">
        <v>143</v>
      </c>
      <c r="ES32" s="20">
        <v>221</v>
      </c>
      <c r="ET32" s="18">
        <v>155</v>
      </c>
      <c r="EU32" s="18">
        <v>179</v>
      </c>
      <c r="EV32" s="18"/>
      <c r="EW32" s="18"/>
      <c r="EX32" s="18"/>
      <c r="EY32" s="18"/>
      <c r="EZ32" s="18"/>
      <c r="FA32" s="18"/>
      <c r="FB32" s="18"/>
      <c r="FC32" s="18"/>
      <c r="FD32" s="18">
        <v>162</v>
      </c>
      <c r="FE32" s="18">
        <v>160</v>
      </c>
      <c r="FF32" s="18">
        <v>179</v>
      </c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>
        <v>171</v>
      </c>
      <c r="FU32" s="18">
        <v>136</v>
      </c>
      <c r="FV32" s="18">
        <v>199</v>
      </c>
      <c r="FW32" s="18"/>
      <c r="FX32" s="18"/>
      <c r="FY32" s="18"/>
      <c r="FZ32" s="18">
        <v>156</v>
      </c>
      <c r="GA32" s="18">
        <v>182</v>
      </c>
      <c r="GB32" s="18">
        <v>180</v>
      </c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>
        <v>157</v>
      </c>
      <c r="GS32" s="18">
        <v>190</v>
      </c>
      <c r="GT32" s="18"/>
      <c r="GU32" s="18"/>
      <c r="GV32" s="18"/>
      <c r="GW32" s="18">
        <v>148</v>
      </c>
      <c r="GX32" s="18">
        <v>190</v>
      </c>
      <c r="GY32" s="18">
        <v>137</v>
      </c>
      <c r="GZ32" s="18">
        <v>142</v>
      </c>
      <c r="HA32" s="18">
        <v>192</v>
      </c>
      <c r="HB32" s="18">
        <v>135</v>
      </c>
      <c r="HC32" s="18">
        <v>125</v>
      </c>
      <c r="HD32" s="18">
        <v>168</v>
      </c>
      <c r="HE32" s="18"/>
      <c r="HF32" s="18"/>
      <c r="HG32" s="18"/>
      <c r="HH32" s="18"/>
      <c r="HI32" s="18"/>
      <c r="HJ32" s="18"/>
      <c r="HK32" s="18"/>
      <c r="HL32" s="18"/>
      <c r="HM32" s="18"/>
      <c r="HN32" s="18">
        <v>142</v>
      </c>
      <c r="HO32" s="18">
        <v>145</v>
      </c>
      <c r="HP32" s="18">
        <v>177</v>
      </c>
      <c r="HQ32" s="18">
        <v>117</v>
      </c>
      <c r="HR32" s="18"/>
      <c r="HS32" s="18"/>
      <c r="HT32" s="18"/>
      <c r="HU32" s="18"/>
      <c r="HV32" s="18"/>
      <c r="HW32" s="18">
        <v>140</v>
      </c>
      <c r="HX32" s="18">
        <v>152</v>
      </c>
      <c r="HY32" s="18">
        <v>144</v>
      </c>
      <c r="HZ32" s="18"/>
      <c r="IA32" s="18"/>
      <c r="IB32" s="18"/>
      <c r="IC32" s="18"/>
      <c r="ID32" s="18"/>
      <c r="IE32" s="18">
        <v>183</v>
      </c>
      <c r="IF32" s="20">
        <v>204</v>
      </c>
      <c r="IG32" s="18">
        <v>136</v>
      </c>
      <c r="IH32" s="18"/>
      <c r="II32" s="18"/>
      <c r="IJ32" s="18"/>
      <c r="IK32" s="18"/>
      <c r="IL32" s="18">
        <v>139</v>
      </c>
      <c r="IM32" s="18">
        <v>128</v>
      </c>
      <c r="IN32" s="18">
        <v>140</v>
      </c>
      <c r="IO32" s="18">
        <v>193</v>
      </c>
      <c r="IP32" s="18">
        <v>171</v>
      </c>
      <c r="IQ32" s="18"/>
      <c r="IR32" s="18">
        <v>154</v>
      </c>
      <c r="IS32" s="18">
        <v>165</v>
      </c>
      <c r="IT32" s="18">
        <v>126</v>
      </c>
      <c r="IU32" s="18">
        <v>159</v>
      </c>
      <c r="IV32" s="18">
        <v>143</v>
      </c>
      <c r="IW32" s="18">
        <v>139</v>
      </c>
      <c r="IX32" s="18">
        <v>158</v>
      </c>
      <c r="IY32" s="18">
        <v>139</v>
      </c>
      <c r="IZ32" s="18">
        <v>156</v>
      </c>
      <c r="JA32" s="18">
        <v>155</v>
      </c>
      <c r="JB32" s="18">
        <v>169</v>
      </c>
      <c r="JC32" s="18">
        <v>148</v>
      </c>
      <c r="JD32" s="18"/>
      <c r="JE32" s="18"/>
      <c r="JF32" s="18"/>
      <c r="JG32" s="18">
        <v>133</v>
      </c>
      <c r="JH32" s="18">
        <v>163</v>
      </c>
      <c r="JI32" s="18">
        <v>134</v>
      </c>
      <c r="JJ32" s="18">
        <v>144</v>
      </c>
      <c r="JK32" s="18">
        <v>136</v>
      </c>
      <c r="JL32" s="18">
        <v>151</v>
      </c>
      <c r="JM32" s="18"/>
      <c r="JN32" s="18">
        <v>141</v>
      </c>
      <c r="JO32" s="18">
        <v>144</v>
      </c>
      <c r="JP32" s="18"/>
      <c r="JQ32" s="18"/>
      <c r="JR32" s="18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36">
        <f t="shared" si="1"/>
        <v>0</v>
      </c>
      <c r="KD32" s="10">
        <f t="shared" si="2"/>
        <v>0</v>
      </c>
      <c r="KE32" s="10">
        <f>IFERROR(SUM(A32:$AG32)/COUNTIF(A32:$AG32, "&gt;0"),0)</f>
        <v>157.90909090909091</v>
      </c>
      <c r="KF32" s="10">
        <f t="shared" si="0"/>
        <v>155.46218487394958</v>
      </c>
    </row>
    <row r="33" spans="1:292">
      <c r="A33" s="8" t="s">
        <v>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8">
        <v>189</v>
      </c>
      <c r="Y33" s="18">
        <v>212</v>
      </c>
      <c r="Z33" s="18">
        <v>159</v>
      </c>
      <c r="AA33" s="23">
        <v>248</v>
      </c>
      <c r="AB33" s="18">
        <v>228</v>
      </c>
      <c r="AC33" s="18">
        <v>175</v>
      </c>
      <c r="AD33" s="18">
        <v>210</v>
      </c>
      <c r="AE33" s="18">
        <v>203</v>
      </c>
      <c r="AF33" s="18">
        <v>190</v>
      </c>
      <c r="AG33" s="18"/>
      <c r="AH33" s="18">
        <v>256</v>
      </c>
      <c r="AI33" s="23">
        <v>206</v>
      </c>
      <c r="AJ33" s="18">
        <v>152</v>
      </c>
      <c r="AK33" s="18">
        <v>221</v>
      </c>
      <c r="AL33" s="18">
        <v>197</v>
      </c>
      <c r="AM33" s="18">
        <v>193</v>
      </c>
      <c r="AN33" s="18">
        <v>233</v>
      </c>
      <c r="AO33" s="18">
        <v>124</v>
      </c>
      <c r="AP33" s="18">
        <v>166</v>
      </c>
      <c r="AQ33" s="18">
        <v>167</v>
      </c>
      <c r="AR33" s="18">
        <v>186</v>
      </c>
      <c r="AS33" s="18">
        <v>197</v>
      </c>
      <c r="AT33" s="18">
        <v>180</v>
      </c>
      <c r="AU33" s="18">
        <v>200</v>
      </c>
      <c r="AV33" s="18">
        <v>150</v>
      </c>
      <c r="AW33" s="18">
        <v>187</v>
      </c>
      <c r="AX33" s="18">
        <v>196</v>
      </c>
      <c r="AY33" s="18">
        <v>160</v>
      </c>
      <c r="AZ33" s="18">
        <v>175</v>
      </c>
      <c r="BA33" s="18">
        <v>193</v>
      </c>
      <c r="BB33" s="18">
        <v>158</v>
      </c>
      <c r="BC33" s="28">
        <v>170</v>
      </c>
      <c r="BD33" s="28">
        <v>193</v>
      </c>
      <c r="BE33" s="28">
        <v>165</v>
      </c>
      <c r="BF33" s="18">
        <v>142</v>
      </c>
      <c r="BG33" s="18">
        <v>151</v>
      </c>
      <c r="BH33" s="18">
        <v>183</v>
      </c>
      <c r="BI33" s="18"/>
      <c r="BJ33" s="18"/>
      <c r="BK33" s="18"/>
      <c r="BL33" s="18">
        <v>155</v>
      </c>
      <c r="BM33" s="18">
        <v>173</v>
      </c>
      <c r="BN33" s="18">
        <v>161</v>
      </c>
      <c r="BO33" s="18">
        <v>188</v>
      </c>
      <c r="BP33" s="18">
        <v>181</v>
      </c>
      <c r="BQ33" s="18">
        <v>160</v>
      </c>
      <c r="BR33" s="18">
        <v>149</v>
      </c>
      <c r="BS33" s="18">
        <v>141</v>
      </c>
      <c r="BT33" s="18">
        <v>156</v>
      </c>
      <c r="BU33" s="18">
        <v>178</v>
      </c>
      <c r="BV33" s="18">
        <v>183</v>
      </c>
      <c r="BW33" s="18">
        <v>195</v>
      </c>
      <c r="BX33" s="18">
        <v>138</v>
      </c>
      <c r="BY33" s="18">
        <v>142</v>
      </c>
      <c r="BZ33" s="18">
        <v>174</v>
      </c>
      <c r="CA33" s="18">
        <v>185</v>
      </c>
      <c r="CB33" s="18">
        <v>208</v>
      </c>
      <c r="CC33" s="18">
        <v>143</v>
      </c>
      <c r="CD33" s="18">
        <v>181</v>
      </c>
      <c r="CE33" s="18">
        <v>138</v>
      </c>
      <c r="CF33" s="18">
        <v>188</v>
      </c>
      <c r="CG33" s="18"/>
      <c r="CH33" s="18"/>
      <c r="CI33" s="18"/>
      <c r="CJ33" s="18">
        <v>169</v>
      </c>
      <c r="CK33" s="19">
        <v>213</v>
      </c>
      <c r="CL33" s="19">
        <v>201</v>
      </c>
      <c r="CM33" s="18">
        <v>193</v>
      </c>
      <c r="CN33" s="18">
        <v>192</v>
      </c>
      <c r="CO33" s="18">
        <v>186</v>
      </c>
      <c r="CP33" s="18">
        <v>148</v>
      </c>
      <c r="CQ33" s="18">
        <v>177</v>
      </c>
      <c r="CR33" s="18">
        <v>167</v>
      </c>
      <c r="CS33" s="30">
        <v>206</v>
      </c>
      <c r="CT33" s="18">
        <v>178</v>
      </c>
      <c r="CU33" s="18">
        <v>173</v>
      </c>
      <c r="CV33" s="18">
        <v>158</v>
      </c>
      <c r="CW33" s="18">
        <v>175</v>
      </c>
      <c r="CX33" s="30">
        <v>238</v>
      </c>
      <c r="CY33" s="18">
        <v>196</v>
      </c>
      <c r="CZ33" s="18">
        <v>154</v>
      </c>
      <c r="DA33" s="18">
        <v>179</v>
      </c>
      <c r="DB33" s="18">
        <v>154</v>
      </c>
      <c r="DC33" s="18">
        <v>147</v>
      </c>
      <c r="DD33" s="18">
        <v>193</v>
      </c>
      <c r="DE33" s="18"/>
      <c r="DF33" s="18">
        <v>171</v>
      </c>
      <c r="DG33" s="18">
        <v>167</v>
      </c>
      <c r="DH33" s="20">
        <v>213</v>
      </c>
      <c r="DI33" s="18">
        <v>148</v>
      </c>
      <c r="DJ33" s="30">
        <v>218</v>
      </c>
      <c r="DK33" s="20">
        <v>255</v>
      </c>
      <c r="DL33" s="18">
        <v>135</v>
      </c>
      <c r="DM33" s="18">
        <v>160</v>
      </c>
      <c r="DN33" s="18">
        <v>183</v>
      </c>
      <c r="DO33" s="18">
        <v>148</v>
      </c>
      <c r="DP33" s="20">
        <v>224</v>
      </c>
      <c r="DQ33" s="18">
        <v>163</v>
      </c>
      <c r="DR33" s="18">
        <v>156</v>
      </c>
      <c r="DS33" s="18">
        <v>169</v>
      </c>
      <c r="DT33" s="18">
        <v>166</v>
      </c>
      <c r="DU33" s="20">
        <v>225</v>
      </c>
      <c r="DV33" s="18">
        <v>187</v>
      </c>
      <c r="DW33" s="20">
        <v>205</v>
      </c>
      <c r="DX33" s="18">
        <v>158</v>
      </c>
      <c r="DY33" s="18">
        <v>185</v>
      </c>
      <c r="DZ33" s="20">
        <v>206</v>
      </c>
      <c r="EA33" s="18">
        <v>136</v>
      </c>
      <c r="EB33" s="31">
        <v>190</v>
      </c>
      <c r="EC33" s="18">
        <v>165</v>
      </c>
      <c r="ED33" s="18">
        <v>192</v>
      </c>
      <c r="EE33" s="18">
        <v>164</v>
      </c>
      <c r="EF33" s="18">
        <v>162</v>
      </c>
      <c r="EG33" s="20">
        <v>235</v>
      </c>
      <c r="EH33" s="20">
        <v>202</v>
      </c>
      <c r="EI33" s="18">
        <v>180</v>
      </c>
      <c r="EJ33" s="18">
        <v>184</v>
      </c>
      <c r="EK33" s="18">
        <v>185</v>
      </c>
      <c r="EL33" s="18">
        <v>171</v>
      </c>
      <c r="EM33" s="18">
        <v>163</v>
      </c>
      <c r="EN33" s="18">
        <v>193</v>
      </c>
      <c r="EO33" s="18">
        <v>116</v>
      </c>
      <c r="EP33" s="32">
        <v>195</v>
      </c>
      <c r="EQ33" s="18">
        <v>161</v>
      </c>
      <c r="ER33" s="18">
        <v>198</v>
      </c>
      <c r="ES33" s="18">
        <v>182</v>
      </c>
      <c r="ET33" s="20">
        <v>203</v>
      </c>
      <c r="EU33" s="18">
        <v>170</v>
      </c>
      <c r="EV33" s="18">
        <v>160</v>
      </c>
      <c r="EW33" s="20">
        <v>212</v>
      </c>
      <c r="EX33" s="30">
        <v>226</v>
      </c>
      <c r="EY33" s="18">
        <v>155</v>
      </c>
      <c r="EZ33" s="18">
        <v>178</v>
      </c>
      <c r="FA33" s="18">
        <v>167</v>
      </c>
      <c r="FB33" s="20">
        <v>210</v>
      </c>
      <c r="FC33" s="18">
        <v>171</v>
      </c>
      <c r="FD33" s="18">
        <v>181</v>
      </c>
      <c r="FE33" s="18">
        <v>144</v>
      </c>
      <c r="FF33" s="18">
        <v>171</v>
      </c>
      <c r="FG33" s="20">
        <v>227</v>
      </c>
      <c r="FH33" s="20">
        <v>210</v>
      </c>
      <c r="FI33" s="18">
        <v>167</v>
      </c>
      <c r="FJ33" s="18">
        <v>187</v>
      </c>
      <c r="FK33" s="18">
        <v>174</v>
      </c>
      <c r="FL33" s="18">
        <v>179</v>
      </c>
      <c r="FM33" s="18">
        <v>132</v>
      </c>
      <c r="FN33" s="18">
        <v>187</v>
      </c>
      <c r="FO33" s="18">
        <v>155</v>
      </c>
      <c r="FP33" s="18">
        <v>197</v>
      </c>
      <c r="FQ33" s="18">
        <v>155</v>
      </c>
      <c r="FR33" s="18">
        <v>151</v>
      </c>
      <c r="FS33" s="18"/>
      <c r="FT33" s="18">
        <v>181</v>
      </c>
      <c r="FU33" s="20">
        <v>243</v>
      </c>
      <c r="FV33" s="18">
        <v>156</v>
      </c>
      <c r="FW33" s="20">
        <v>206</v>
      </c>
      <c r="FX33" s="18">
        <v>182</v>
      </c>
      <c r="FY33" s="18">
        <v>166</v>
      </c>
      <c r="FZ33" s="18">
        <v>178</v>
      </c>
      <c r="GA33" s="18">
        <v>174</v>
      </c>
      <c r="GB33" s="21">
        <v>212</v>
      </c>
      <c r="GC33" s="18">
        <v>159</v>
      </c>
      <c r="GD33" s="18">
        <v>178</v>
      </c>
      <c r="GE33" s="18">
        <v>161</v>
      </c>
      <c r="GF33" s="21">
        <v>212</v>
      </c>
      <c r="GG33" s="18">
        <v>160</v>
      </c>
      <c r="GH33" s="18">
        <v>164</v>
      </c>
      <c r="GI33" s="18">
        <v>166</v>
      </c>
      <c r="GJ33" s="21">
        <v>203</v>
      </c>
      <c r="GK33" s="18">
        <v>165</v>
      </c>
      <c r="GL33" s="18"/>
      <c r="GM33" s="18">
        <v>158</v>
      </c>
      <c r="GN33" s="18">
        <v>165</v>
      </c>
      <c r="GO33" s="18">
        <v>180</v>
      </c>
      <c r="GP33" s="18">
        <v>161</v>
      </c>
      <c r="GQ33" s="18">
        <v>132</v>
      </c>
      <c r="GR33" s="18">
        <v>170</v>
      </c>
      <c r="GS33" s="18">
        <v>162</v>
      </c>
      <c r="GT33" s="18">
        <v>149</v>
      </c>
      <c r="GU33" s="20">
        <v>213</v>
      </c>
      <c r="GV33" s="18">
        <v>171</v>
      </c>
      <c r="GW33" s="21">
        <v>203</v>
      </c>
      <c r="GX33" s="18">
        <v>199</v>
      </c>
      <c r="GY33" s="18">
        <v>194</v>
      </c>
      <c r="GZ33" s="18">
        <v>170</v>
      </c>
      <c r="HA33" s="20">
        <v>245</v>
      </c>
      <c r="HB33" s="18">
        <v>170</v>
      </c>
      <c r="HC33" s="18">
        <v>180</v>
      </c>
      <c r="HD33" s="20">
        <v>203</v>
      </c>
      <c r="HE33" s="20">
        <v>204</v>
      </c>
      <c r="HF33" s="20">
        <v>205</v>
      </c>
      <c r="HG33" s="22">
        <v>146</v>
      </c>
      <c r="HH33" s="20">
        <v>204</v>
      </c>
      <c r="HI33" s="20">
        <v>202</v>
      </c>
      <c r="HJ33" s="18">
        <v>137</v>
      </c>
      <c r="HK33" s="20">
        <v>211</v>
      </c>
      <c r="HL33" s="18">
        <v>167</v>
      </c>
      <c r="HM33" s="20">
        <v>205</v>
      </c>
      <c r="HN33" s="18">
        <v>175</v>
      </c>
      <c r="HO33" s="18">
        <v>143</v>
      </c>
      <c r="HP33" s="18">
        <v>168</v>
      </c>
      <c r="HQ33" s="18">
        <v>135</v>
      </c>
      <c r="HR33" s="18"/>
      <c r="HS33" s="18">
        <v>159</v>
      </c>
      <c r="HT33" s="18">
        <v>180</v>
      </c>
      <c r="HU33" s="18">
        <v>180</v>
      </c>
      <c r="HV33" s="18">
        <v>146</v>
      </c>
      <c r="HW33" s="18">
        <v>139</v>
      </c>
      <c r="HX33" s="18">
        <v>169</v>
      </c>
      <c r="HY33" s="18">
        <v>170</v>
      </c>
      <c r="HZ33" s="20">
        <v>226</v>
      </c>
      <c r="IA33" s="18">
        <v>185</v>
      </c>
      <c r="IB33" s="20">
        <v>226</v>
      </c>
      <c r="IC33" s="18">
        <v>185</v>
      </c>
      <c r="ID33" s="18"/>
      <c r="IE33" s="18">
        <v>179</v>
      </c>
      <c r="IF33" s="18">
        <v>180</v>
      </c>
      <c r="IG33" s="18">
        <v>190</v>
      </c>
      <c r="IH33" s="18">
        <v>170</v>
      </c>
      <c r="II33" s="18">
        <v>158</v>
      </c>
      <c r="IJ33" s="18">
        <v>163</v>
      </c>
      <c r="IK33" s="18">
        <v>178</v>
      </c>
      <c r="IL33" s="20">
        <v>222</v>
      </c>
      <c r="IM33" s="18">
        <v>146</v>
      </c>
      <c r="IN33" s="18">
        <v>171</v>
      </c>
      <c r="IO33" s="18">
        <v>184</v>
      </c>
      <c r="IP33" s="18">
        <v>159</v>
      </c>
      <c r="IQ33" s="18">
        <v>162</v>
      </c>
      <c r="IR33" s="18">
        <v>192</v>
      </c>
      <c r="IS33" s="18">
        <v>164</v>
      </c>
      <c r="IT33" s="18">
        <v>147</v>
      </c>
      <c r="IU33" s="18">
        <v>178</v>
      </c>
      <c r="IV33" s="18">
        <v>189</v>
      </c>
      <c r="IW33" s="18">
        <v>188</v>
      </c>
      <c r="IX33" s="18"/>
      <c r="IY33" s="18"/>
      <c r="IZ33" s="18"/>
      <c r="JA33" s="18">
        <v>191</v>
      </c>
      <c r="JB33" s="20">
        <v>213</v>
      </c>
      <c r="JC33" s="18">
        <v>157</v>
      </c>
      <c r="JD33" s="18">
        <v>138</v>
      </c>
      <c r="JE33" s="18">
        <v>125</v>
      </c>
      <c r="JF33" s="20">
        <v>209</v>
      </c>
      <c r="JG33" s="18">
        <v>165</v>
      </c>
      <c r="JH33" s="18">
        <v>166</v>
      </c>
      <c r="JI33" s="18">
        <v>165</v>
      </c>
      <c r="JJ33" s="20">
        <v>227</v>
      </c>
      <c r="JK33" s="18">
        <v>179</v>
      </c>
      <c r="JL33" s="18">
        <v>189</v>
      </c>
      <c r="JM33" s="18">
        <v>190</v>
      </c>
      <c r="JN33" s="18">
        <v>151</v>
      </c>
      <c r="JO33" s="18">
        <v>192</v>
      </c>
      <c r="JP33" s="18">
        <v>151</v>
      </c>
      <c r="JQ33" s="18">
        <v>171</v>
      </c>
      <c r="JR33" s="18">
        <v>166</v>
      </c>
      <c r="JS33" s="13">
        <v>190</v>
      </c>
      <c r="JT33" s="13">
        <v>161</v>
      </c>
      <c r="JU33" s="13">
        <v>167</v>
      </c>
      <c r="JV33" s="13">
        <v>195</v>
      </c>
      <c r="JW33" s="13">
        <v>189</v>
      </c>
      <c r="JX33" s="13">
        <v>162</v>
      </c>
      <c r="JY33" s="13">
        <v>174</v>
      </c>
      <c r="JZ33" s="13">
        <v>216</v>
      </c>
      <c r="KA33" s="13">
        <v>164</v>
      </c>
      <c r="KB33" s="13"/>
      <c r="KC33" s="36">
        <f t="shared" si="1"/>
        <v>0</v>
      </c>
      <c r="KD33" s="10">
        <f t="shared" si="2"/>
        <v>0</v>
      </c>
      <c r="KE33" s="10">
        <f>IFERROR(SUM(A33:$AG33)/COUNTIF(A33:$AG33, "&gt;0"),0)</f>
        <v>201.55555555555554</v>
      </c>
      <c r="KF33" s="10">
        <f t="shared" si="0"/>
        <v>178.93574297188755</v>
      </c>
    </row>
    <row r="34" spans="1:292">
      <c r="A34" s="8" t="s">
        <v>40</v>
      </c>
      <c r="B34" s="8"/>
      <c r="C34" s="8"/>
      <c r="D34" s="8"/>
      <c r="E34" s="8"/>
      <c r="F34" s="8"/>
      <c r="G34" s="8"/>
      <c r="H34" s="8"/>
      <c r="I34" s="8">
        <v>102</v>
      </c>
      <c r="J34" s="8">
        <v>133</v>
      </c>
      <c r="K34" s="8">
        <v>113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8"/>
      <c r="Y34" s="18"/>
      <c r="Z34" s="18"/>
      <c r="AA34" s="18">
        <v>134</v>
      </c>
      <c r="AB34" s="18">
        <v>147</v>
      </c>
      <c r="AC34" s="18">
        <v>127</v>
      </c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>
        <v>98</v>
      </c>
      <c r="BG34" s="18">
        <v>144</v>
      </c>
      <c r="BH34" s="18">
        <v>115</v>
      </c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>
        <v>102</v>
      </c>
      <c r="CH34" s="18">
        <v>103</v>
      </c>
      <c r="CI34" s="18">
        <v>134</v>
      </c>
      <c r="CJ34" s="18">
        <v>151</v>
      </c>
      <c r="CK34" s="18">
        <v>101</v>
      </c>
      <c r="CL34" s="18">
        <v>138</v>
      </c>
      <c r="CM34" s="18"/>
      <c r="CN34" s="18"/>
      <c r="CO34" s="18"/>
      <c r="CP34" s="18">
        <v>115</v>
      </c>
      <c r="CQ34" s="18">
        <v>128</v>
      </c>
      <c r="CR34" s="18">
        <v>147</v>
      </c>
      <c r="CS34" s="18"/>
      <c r="CT34" s="18"/>
      <c r="CU34" s="18"/>
      <c r="CV34" s="18"/>
      <c r="CW34" s="18"/>
      <c r="CX34" s="18"/>
      <c r="CY34" s="18">
        <v>115</v>
      </c>
      <c r="CZ34" s="18">
        <v>114</v>
      </c>
      <c r="DA34" s="18">
        <v>133</v>
      </c>
      <c r="DB34" s="18">
        <v>112</v>
      </c>
      <c r="DC34" s="18">
        <v>135</v>
      </c>
      <c r="DD34" s="18">
        <v>158</v>
      </c>
      <c r="DE34" s="18">
        <v>172</v>
      </c>
      <c r="DF34" s="18">
        <v>122</v>
      </c>
      <c r="DG34" s="18">
        <v>102</v>
      </c>
      <c r="DH34" s="18">
        <v>105</v>
      </c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>
        <v>107</v>
      </c>
      <c r="DU34" s="18">
        <v>143</v>
      </c>
      <c r="DV34" s="18">
        <v>107</v>
      </c>
      <c r="DW34" s="18">
        <v>95</v>
      </c>
      <c r="DX34" s="18">
        <v>120</v>
      </c>
      <c r="DY34" s="18">
        <v>100</v>
      </c>
      <c r="DZ34" s="18">
        <v>130</v>
      </c>
      <c r="EA34" s="18">
        <v>116</v>
      </c>
      <c r="EB34" s="18">
        <v>168</v>
      </c>
      <c r="EC34" s="18">
        <v>152</v>
      </c>
      <c r="ED34" s="18">
        <v>105</v>
      </c>
      <c r="EE34" s="18">
        <v>157</v>
      </c>
      <c r="EF34" s="18"/>
      <c r="EG34" s="18"/>
      <c r="EH34" s="18"/>
      <c r="EI34" s="18"/>
      <c r="EJ34" s="18"/>
      <c r="EK34" s="18"/>
      <c r="EL34" s="18">
        <v>97</v>
      </c>
      <c r="EM34" s="18">
        <v>110</v>
      </c>
      <c r="EN34" s="18">
        <v>171</v>
      </c>
      <c r="EO34" s="18">
        <v>147</v>
      </c>
      <c r="EP34" s="18">
        <v>100</v>
      </c>
      <c r="EQ34" s="18">
        <v>114</v>
      </c>
      <c r="ER34" s="18"/>
      <c r="ES34" s="18"/>
      <c r="ET34" s="18"/>
      <c r="EU34" s="18"/>
      <c r="EV34" s="18">
        <v>120</v>
      </c>
      <c r="EW34" s="18">
        <v>125</v>
      </c>
      <c r="EX34" s="18">
        <v>96</v>
      </c>
      <c r="EY34" s="18"/>
      <c r="EZ34" s="18"/>
      <c r="FA34" s="18">
        <v>86</v>
      </c>
      <c r="FB34" s="18">
        <v>134</v>
      </c>
      <c r="FC34" s="18">
        <v>99</v>
      </c>
      <c r="FD34" s="18">
        <v>136</v>
      </c>
      <c r="FE34" s="18">
        <v>104</v>
      </c>
      <c r="FF34" s="18">
        <v>127</v>
      </c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>
        <v>104</v>
      </c>
      <c r="FU34" s="18">
        <v>161</v>
      </c>
      <c r="FV34" s="18">
        <v>159</v>
      </c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>
        <v>120</v>
      </c>
      <c r="GS34" s="18">
        <v>138</v>
      </c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>
        <v>95</v>
      </c>
      <c r="IJ34" s="18">
        <v>111</v>
      </c>
      <c r="IK34" s="18">
        <v>121</v>
      </c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  <c r="IW34" s="18"/>
      <c r="IX34" s="18"/>
      <c r="IY34" s="18"/>
      <c r="IZ34" s="18"/>
      <c r="JA34" s="18">
        <v>116</v>
      </c>
      <c r="JB34" s="18">
        <v>142</v>
      </c>
      <c r="JC34" s="18">
        <v>132</v>
      </c>
      <c r="JD34" s="18"/>
      <c r="JE34" s="18"/>
      <c r="JF34" s="18"/>
      <c r="JG34" s="18">
        <v>85</v>
      </c>
      <c r="JH34" s="18">
        <v>121</v>
      </c>
      <c r="JI34" s="18">
        <v>113</v>
      </c>
      <c r="JJ34" s="18"/>
      <c r="JK34" s="18"/>
      <c r="JL34" s="18"/>
      <c r="JM34" s="18"/>
      <c r="JN34" s="18"/>
      <c r="JO34" s="18"/>
      <c r="JP34" s="18"/>
      <c r="JQ34" s="18"/>
      <c r="JR34" s="18"/>
      <c r="JS34" s="13">
        <v>70</v>
      </c>
      <c r="JT34" s="13">
        <v>104</v>
      </c>
      <c r="JU34" s="13">
        <v>72</v>
      </c>
      <c r="JV34" s="13">
        <v>101</v>
      </c>
      <c r="JW34" s="13">
        <v>105</v>
      </c>
      <c r="JX34" s="13">
        <v>104</v>
      </c>
      <c r="JY34" s="13"/>
      <c r="JZ34" s="13"/>
      <c r="KA34" s="13"/>
      <c r="KB34" s="13"/>
      <c r="KC34" s="36">
        <f t="shared" si="1"/>
        <v>0</v>
      </c>
      <c r="KD34" s="10">
        <f t="shared" si="2"/>
        <v>0</v>
      </c>
      <c r="KE34" s="10">
        <f>IFERROR(SUM(A34:$AG34)/COUNTIF(A34:$AG34, "&gt;0"),0)</f>
        <v>126</v>
      </c>
      <c r="KF34" s="10">
        <f t="shared" si="0"/>
        <v>120.53333333333333</v>
      </c>
    </row>
    <row r="35" spans="1:292">
      <c r="A35" s="8" t="s">
        <v>14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>
        <v>159</v>
      </c>
      <c r="M35" s="8">
        <v>160</v>
      </c>
      <c r="N35" s="8">
        <v>203</v>
      </c>
      <c r="O35" s="8">
        <v>141</v>
      </c>
      <c r="P35" s="8">
        <v>126</v>
      </c>
      <c r="Q35" s="8">
        <v>169</v>
      </c>
      <c r="R35" s="8">
        <v>183</v>
      </c>
      <c r="S35" s="8">
        <v>137</v>
      </c>
      <c r="T35" s="8">
        <v>129</v>
      </c>
      <c r="U35" s="8">
        <v>189</v>
      </c>
      <c r="V35" s="8">
        <v>168</v>
      </c>
      <c r="W35" s="8">
        <v>128</v>
      </c>
      <c r="X35" s="18">
        <v>130</v>
      </c>
      <c r="Y35" s="18">
        <v>150</v>
      </c>
      <c r="Z35" s="18">
        <v>114</v>
      </c>
      <c r="AA35" s="18">
        <v>128</v>
      </c>
      <c r="AB35" s="18">
        <v>155</v>
      </c>
      <c r="AC35" s="18">
        <v>154</v>
      </c>
      <c r="AD35" s="18">
        <v>204</v>
      </c>
      <c r="AE35" s="18">
        <v>189</v>
      </c>
      <c r="AF35" s="18">
        <v>144</v>
      </c>
      <c r="AG35" s="18"/>
      <c r="AH35" s="18">
        <v>164</v>
      </c>
      <c r="AI35" s="18">
        <v>143</v>
      </c>
      <c r="AJ35" s="18">
        <v>147</v>
      </c>
      <c r="AK35" s="18">
        <v>209</v>
      </c>
      <c r="AL35" s="18">
        <v>163</v>
      </c>
      <c r="AM35" s="18">
        <v>198</v>
      </c>
      <c r="AN35" s="18"/>
      <c r="AO35" s="18"/>
      <c r="AP35" s="18"/>
      <c r="AQ35" s="18">
        <v>165</v>
      </c>
      <c r="AR35" s="18">
        <v>131</v>
      </c>
      <c r="AS35" s="18">
        <v>161</v>
      </c>
      <c r="AT35" s="18"/>
      <c r="AU35" s="18"/>
      <c r="AV35" s="18"/>
      <c r="AW35" s="18">
        <v>127</v>
      </c>
      <c r="AX35" s="18">
        <v>140</v>
      </c>
      <c r="AY35" s="18">
        <v>178</v>
      </c>
      <c r="AZ35" s="18"/>
      <c r="BA35" s="18"/>
      <c r="BB35" s="18"/>
      <c r="BC35" s="28">
        <v>148</v>
      </c>
      <c r="BD35" s="28">
        <v>131</v>
      </c>
      <c r="BE35" s="28">
        <v>180</v>
      </c>
      <c r="BF35" s="18"/>
      <c r="BG35" s="18"/>
      <c r="BH35" s="18"/>
      <c r="BI35" s="18"/>
      <c r="BJ35" s="18"/>
      <c r="BK35" s="18"/>
      <c r="BL35" s="18"/>
      <c r="BM35" s="18"/>
      <c r="BN35" s="18"/>
      <c r="BO35" s="18">
        <v>133</v>
      </c>
      <c r="BP35" s="18">
        <v>136</v>
      </c>
      <c r="BQ35" s="18">
        <v>151</v>
      </c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>
        <v>179</v>
      </c>
      <c r="CZ35" s="18">
        <v>149</v>
      </c>
      <c r="DA35" s="18">
        <v>169</v>
      </c>
      <c r="DB35" s="20">
        <v>200</v>
      </c>
      <c r="DC35" s="18">
        <v>178</v>
      </c>
      <c r="DD35" s="18">
        <v>147</v>
      </c>
      <c r="DE35" s="18"/>
      <c r="DF35" s="18">
        <v>177</v>
      </c>
      <c r="DG35" s="18">
        <v>174</v>
      </c>
      <c r="DH35" s="20">
        <v>201</v>
      </c>
      <c r="DI35" s="18">
        <v>140</v>
      </c>
      <c r="DJ35" s="18">
        <v>166</v>
      </c>
      <c r="DK35" s="18">
        <v>136</v>
      </c>
      <c r="DL35" s="18">
        <v>198</v>
      </c>
      <c r="DM35" s="18">
        <v>126</v>
      </c>
      <c r="DN35" s="18"/>
      <c r="DO35" s="18"/>
      <c r="DP35" s="18"/>
      <c r="DQ35" s="18">
        <v>139</v>
      </c>
      <c r="DR35" s="18">
        <v>145</v>
      </c>
      <c r="DS35" s="20">
        <v>200</v>
      </c>
      <c r="DT35" s="18"/>
      <c r="DU35" s="18"/>
      <c r="DV35" s="18"/>
      <c r="DW35" s="18">
        <v>124</v>
      </c>
      <c r="DX35" s="18">
        <v>126</v>
      </c>
      <c r="DY35" s="18">
        <v>147</v>
      </c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  <c r="IU35" s="18"/>
      <c r="IV35" s="18"/>
      <c r="IW35" s="18"/>
      <c r="IX35" s="18"/>
      <c r="IY35" s="18"/>
      <c r="IZ35" s="18"/>
      <c r="JA35" s="18"/>
      <c r="JB35" s="18"/>
      <c r="JC35" s="18"/>
      <c r="JD35" s="18"/>
      <c r="JE35" s="18"/>
      <c r="JF35" s="18"/>
      <c r="JG35" s="18"/>
      <c r="JH35" s="18"/>
      <c r="JI35" s="18"/>
      <c r="JJ35" s="18"/>
      <c r="JK35" s="18"/>
      <c r="JL35" s="18"/>
      <c r="JM35" s="18"/>
      <c r="JN35" s="18"/>
      <c r="JO35" s="18"/>
      <c r="JP35" s="18"/>
      <c r="JQ35" s="18"/>
      <c r="JR35" s="18"/>
      <c r="JS35" s="13"/>
      <c r="JT35" s="13"/>
      <c r="JU35" s="13"/>
      <c r="JV35" s="13"/>
      <c r="JW35" s="13"/>
      <c r="JX35" s="13"/>
      <c r="JY35" s="13"/>
      <c r="JZ35" s="13"/>
      <c r="KA35" s="13"/>
      <c r="KB35" s="13"/>
      <c r="KC35" s="36">
        <f t="shared" si="1"/>
        <v>0</v>
      </c>
      <c r="KD35" s="10">
        <f t="shared" si="2"/>
        <v>0</v>
      </c>
      <c r="KE35" s="10">
        <f>IFERROR(SUM(A35:$AG35)/COUNTIF(A35:$AG35, "&gt;0"),0)</f>
        <v>155.23809523809524</v>
      </c>
      <c r="KF35" s="10">
        <f t="shared" si="0"/>
        <v>157.38983050847457</v>
      </c>
    </row>
    <row r="36" spans="1:292">
      <c r="A36" s="8" t="s">
        <v>23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>
        <v>145</v>
      </c>
      <c r="AR36" s="18">
        <v>171</v>
      </c>
      <c r="AS36" s="18">
        <v>182</v>
      </c>
      <c r="AT36" s="18"/>
      <c r="AU36" s="18"/>
      <c r="AV36" s="18"/>
      <c r="AW36" s="18"/>
      <c r="AX36" s="18"/>
      <c r="AY36" s="18"/>
      <c r="AZ36" s="18"/>
      <c r="BA36" s="18"/>
      <c r="BB36" s="18"/>
      <c r="BC36" s="28">
        <v>137</v>
      </c>
      <c r="BD36" s="28">
        <v>180</v>
      </c>
      <c r="BE36" s="28">
        <v>222</v>
      </c>
      <c r="BF36" s="18"/>
      <c r="BG36" s="18"/>
      <c r="BH36" s="18"/>
      <c r="BI36" s="18"/>
      <c r="BJ36" s="18"/>
      <c r="BK36" s="18"/>
      <c r="BL36" s="18"/>
      <c r="BM36" s="18"/>
      <c r="BN36" s="18"/>
      <c r="BO36" s="18">
        <v>144</v>
      </c>
      <c r="BP36" s="18">
        <v>130</v>
      </c>
      <c r="BQ36" s="18">
        <v>172</v>
      </c>
      <c r="BR36" s="18"/>
      <c r="BS36" s="18"/>
      <c r="BT36" s="18"/>
      <c r="BU36" s="18"/>
      <c r="BV36" s="18"/>
      <c r="BW36" s="18"/>
      <c r="BX36" s="18"/>
      <c r="BY36" s="18"/>
      <c r="BZ36" s="18"/>
      <c r="CA36" s="18">
        <v>142</v>
      </c>
      <c r="CB36" s="18">
        <v>182</v>
      </c>
      <c r="CC36" s="18">
        <v>173</v>
      </c>
      <c r="CD36" s="18"/>
      <c r="CE36" s="18"/>
      <c r="CF36" s="18"/>
      <c r="CG36" s="18"/>
      <c r="CH36" s="18"/>
      <c r="CI36" s="18"/>
      <c r="CJ36" s="18"/>
      <c r="CK36" s="18"/>
      <c r="CL36" s="18"/>
      <c r="CM36" s="18">
        <v>158</v>
      </c>
      <c r="CN36" s="18">
        <v>169</v>
      </c>
      <c r="CO36" s="18">
        <v>188</v>
      </c>
      <c r="CP36" s="18"/>
      <c r="CQ36" s="18"/>
      <c r="CR36" s="18"/>
      <c r="CS36" s="18"/>
      <c r="CT36" s="18"/>
      <c r="CU36" s="18"/>
      <c r="CV36" s="18"/>
      <c r="CW36" s="18"/>
      <c r="CX36" s="18"/>
      <c r="CY36" s="18">
        <v>161</v>
      </c>
      <c r="CZ36" s="18">
        <v>186</v>
      </c>
      <c r="DA36" s="18">
        <v>157</v>
      </c>
      <c r="DB36" s="18">
        <v>165</v>
      </c>
      <c r="DC36" s="18">
        <v>173</v>
      </c>
      <c r="DD36" s="18">
        <v>143</v>
      </c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>
        <v>167</v>
      </c>
      <c r="DX36" s="18">
        <v>191</v>
      </c>
      <c r="DY36" s="18">
        <v>184</v>
      </c>
      <c r="DZ36" s="18">
        <v>176</v>
      </c>
      <c r="EA36" s="18">
        <v>116</v>
      </c>
      <c r="EB36" s="18">
        <v>163</v>
      </c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>
        <v>181</v>
      </c>
      <c r="EQ36" s="18">
        <v>147</v>
      </c>
      <c r="ER36" s="18">
        <v>181</v>
      </c>
      <c r="ES36" s="20">
        <v>211</v>
      </c>
      <c r="ET36" s="18">
        <v>158</v>
      </c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>
        <v>124</v>
      </c>
      <c r="FK36" s="18">
        <v>157</v>
      </c>
      <c r="FL36" s="18">
        <v>136</v>
      </c>
      <c r="FM36" s="18"/>
      <c r="FN36" s="18"/>
      <c r="FO36" s="18"/>
      <c r="FP36" s="18"/>
      <c r="FQ36" s="18"/>
      <c r="FR36" s="18"/>
      <c r="FS36" s="18"/>
      <c r="FT36" s="18">
        <v>171</v>
      </c>
      <c r="FU36" s="20">
        <v>204</v>
      </c>
      <c r="FV36" s="18">
        <v>163</v>
      </c>
      <c r="FW36" s="18">
        <v>183</v>
      </c>
      <c r="FX36" s="20">
        <v>208</v>
      </c>
      <c r="FY36" s="18">
        <v>178</v>
      </c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>
        <v>134</v>
      </c>
      <c r="GS36" s="18">
        <v>130</v>
      </c>
      <c r="GT36" s="18">
        <v>177</v>
      </c>
      <c r="GU36" s="18">
        <v>188</v>
      </c>
      <c r="GV36" s="18">
        <v>167</v>
      </c>
      <c r="GW36" s="18"/>
      <c r="GX36" s="18"/>
      <c r="GY36" s="18"/>
      <c r="GZ36" s="18"/>
      <c r="HA36" s="18">
        <v>140</v>
      </c>
      <c r="HB36" s="18">
        <v>146</v>
      </c>
      <c r="HC36" s="18">
        <v>188</v>
      </c>
      <c r="HD36" s="18"/>
      <c r="HE36" s="18"/>
      <c r="HF36" s="18"/>
      <c r="HG36" s="18"/>
      <c r="HH36" s="18">
        <v>155</v>
      </c>
      <c r="HI36" s="18">
        <v>139</v>
      </c>
      <c r="HJ36" s="18">
        <v>155</v>
      </c>
      <c r="HK36" s="20">
        <v>212</v>
      </c>
      <c r="HL36" s="18">
        <v>134</v>
      </c>
      <c r="HM36" s="18">
        <v>180</v>
      </c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>
        <v>147</v>
      </c>
      <c r="IM36" s="18">
        <v>146</v>
      </c>
      <c r="IN36" s="22">
        <v>175</v>
      </c>
      <c r="IO36" s="18">
        <v>194</v>
      </c>
      <c r="IP36" s="18">
        <v>142</v>
      </c>
      <c r="IQ36" s="18">
        <v>155</v>
      </c>
      <c r="IR36" s="20"/>
      <c r="IS36" s="18"/>
      <c r="IT36" s="18"/>
      <c r="IU36" s="20"/>
      <c r="IV36" s="18"/>
      <c r="IW36" s="18"/>
      <c r="IX36" s="20">
        <v>211</v>
      </c>
      <c r="IY36" s="18">
        <v>171</v>
      </c>
      <c r="IZ36" s="18">
        <v>176</v>
      </c>
      <c r="JA36" s="18">
        <v>161</v>
      </c>
      <c r="JB36" s="18">
        <v>191</v>
      </c>
      <c r="JC36" s="18">
        <v>162</v>
      </c>
      <c r="JD36" s="18"/>
      <c r="JE36" s="18"/>
      <c r="JF36" s="18"/>
      <c r="JG36" s="18"/>
      <c r="JH36" s="18"/>
      <c r="JI36" s="18"/>
      <c r="JJ36" s="18">
        <v>111</v>
      </c>
      <c r="JK36" s="18">
        <v>165</v>
      </c>
      <c r="JL36" s="18">
        <v>189</v>
      </c>
      <c r="JM36" s="18"/>
      <c r="JN36" s="18"/>
      <c r="JO36" s="18"/>
      <c r="JP36" s="18">
        <v>132</v>
      </c>
      <c r="JQ36" s="18">
        <v>182</v>
      </c>
      <c r="JR36" s="18">
        <v>171</v>
      </c>
      <c r="JS36" s="13"/>
      <c r="JT36" s="13"/>
      <c r="JU36" s="13"/>
      <c r="JV36" s="13"/>
      <c r="JW36" s="13"/>
      <c r="JX36" s="13"/>
      <c r="JY36" s="13">
        <v>149</v>
      </c>
      <c r="JZ36" s="13">
        <v>173</v>
      </c>
      <c r="KA36" s="13">
        <v>138</v>
      </c>
      <c r="KB36" s="13"/>
      <c r="KC36" s="36">
        <f t="shared" si="1"/>
        <v>0</v>
      </c>
      <c r="KD36" s="10">
        <f t="shared" si="2"/>
        <v>0</v>
      </c>
      <c r="KE36" s="10">
        <f>IFERROR(SUM(A36:$AG36)/COUNTIF(A36:$AG36, "&gt;0"),0)</f>
        <v>0</v>
      </c>
      <c r="KF36" s="10">
        <f t="shared" si="0"/>
        <v>165.32894736842104</v>
      </c>
    </row>
    <row r="37" spans="1:292" ht="16.5" hidden="1" customHeight="1">
      <c r="A37" s="8" t="s">
        <v>34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>
        <v>114</v>
      </c>
      <c r="BP37" s="18">
        <v>121</v>
      </c>
      <c r="BQ37" s="18">
        <v>126</v>
      </c>
      <c r="BR37" s="18"/>
      <c r="BS37" s="18"/>
      <c r="BT37" s="18"/>
      <c r="BU37" s="18"/>
      <c r="BV37" s="18"/>
      <c r="BW37" s="18"/>
      <c r="BX37" s="18"/>
      <c r="BY37" s="18"/>
      <c r="BZ37" s="18"/>
      <c r="CA37" s="18">
        <v>115</v>
      </c>
      <c r="CB37" s="18">
        <v>111</v>
      </c>
      <c r="CC37" s="18">
        <v>114</v>
      </c>
      <c r="CD37" s="18"/>
      <c r="CE37" s="18"/>
      <c r="CF37" s="18"/>
      <c r="CG37" s="18"/>
      <c r="CH37" s="18"/>
      <c r="CI37" s="18"/>
      <c r="CJ37" s="18">
        <v>107</v>
      </c>
      <c r="CK37" s="18">
        <v>93</v>
      </c>
      <c r="CL37" s="18">
        <v>126</v>
      </c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>
        <v>118</v>
      </c>
      <c r="FE37" s="18">
        <v>95</v>
      </c>
      <c r="FF37" s="18">
        <v>129</v>
      </c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>
        <v>105</v>
      </c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>
        <v>78</v>
      </c>
      <c r="HB37" s="18">
        <v>101</v>
      </c>
      <c r="HC37" s="18">
        <v>93</v>
      </c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  <c r="IU37" s="18"/>
      <c r="IV37" s="18"/>
      <c r="IW37" s="18"/>
      <c r="IX37" s="18"/>
      <c r="IY37" s="18"/>
      <c r="IZ37" s="18"/>
      <c r="JA37" s="18"/>
      <c r="JB37" s="18"/>
      <c r="JC37" s="18"/>
      <c r="JD37" s="18"/>
      <c r="JE37" s="18"/>
      <c r="JF37" s="18"/>
      <c r="JG37" s="18">
        <v>111</v>
      </c>
      <c r="JH37" s="18">
        <v>96</v>
      </c>
      <c r="JI37" s="18">
        <v>111</v>
      </c>
      <c r="JJ37" s="18"/>
      <c r="JK37" s="18"/>
      <c r="JL37" s="18"/>
      <c r="JM37" s="18"/>
      <c r="JN37" s="18"/>
      <c r="JO37" s="18"/>
      <c r="JP37" s="18"/>
      <c r="JQ37" s="18"/>
      <c r="JR37" s="18"/>
      <c r="JS37" s="13">
        <v>125</v>
      </c>
      <c r="JT37" s="13">
        <v>144</v>
      </c>
      <c r="JU37" s="13">
        <v>123</v>
      </c>
      <c r="JV37" s="13"/>
      <c r="JW37" s="13"/>
      <c r="JX37" s="13"/>
      <c r="JY37" s="13"/>
      <c r="JZ37" s="13"/>
      <c r="KA37" s="13"/>
      <c r="KB37" s="13"/>
      <c r="KC37" s="36">
        <f t="shared" ref="KC37" si="3">SUM($F37:$H37)</f>
        <v>0</v>
      </c>
      <c r="KD37" s="10">
        <f>IFERROR(SUM(INDEX(((B37:$KB37&lt;&gt;"")*COLUMN(B37:$KB37)&lt;LARGE(INDEX((B37:$KB37&lt;&gt;"")*COLUMN(B37:$KB37),),COUNT($B37:$KB37)-3))*B37:$KB37,))/COUNTIF($A37:$E37,"&gt;0"),0)</f>
        <v>0</v>
      </c>
      <c r="KE37" s="10">
        <f>IFERROR(SUM(A37:$AG37)/COUNTIF(A37:$AG37, "&gt;0"),0)</f>
        <v>0</v>
      </c>
      <c r="KF37" s="10">
        <f t="shared" si="0"/>
        <v>111.63636363636364</v>
      </c>
    </row>
    <row r="38" spans="1:292"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29"/>
      <c r="IA38" s="29"/>
      <c r="IB38" s="29"/>
      <c r="IC38" s="29"/>
      <c r="ID38" s="29"/>
      <c r="IE38" s="29"/>
      <c r="IF38" s="29"/>
      <c r="IG38" s="29"/>
      <c r="IH38" s="29"/>
      <c r="II38" s="29"/>
      <c r="IJ38" s="29"/>
      <c r="IK38" s="29"/>
      <c r="IL38" s="29"/>
      <c r="IM38" s="29"/>
      <c r="IN38" s="29"/>
      <c r="IO38" s="29"/>
      <c r="IP38" s="29"/>
      <c r="IQ38" s="29"/>
      <c r="IR38" s="29"/>
      <c r="IS38" s="29"/>
      <c r="IT38" s="29"/>
      <c r="IU38" s="29"/>
      <c r="IV38" s="29"/>
      <c r="IW38" s="29"/>
      <c r="IX38" s="29"/>
      <c r="IY38" s="29"/>
      <c r="IZ38" s="29"/>
      <c r="JA38" s="29"/>
      <c r="JB38" s="29"/>
      <c r="JC38" s="29"/>
      <c r="JD38" s="29"/>
      <c r="JE38" s="29"/>
      <c r="JF38" s="29"/>
      <c r="JG38" s="29"/>
      <c r="JH38" s="29"/>
      <c r="JI38" s="29"/>
      <c r="JJ38" s="29"/>
      <c r="JK38" s="29"/>
      <c r="JL38" s="29"/>
      <c r="JM38" s="29"/>
      <c r="JN38" s="29"/>
      <c r="JO38" s="29"/>
      <c r="JP38" s="29"/>
      <c r="JQ38" s="29"/>
      <c r="JR38" s="29"/>
      <c r="JS38" s="16"/>
      <c r="JT38" s="16"/>
      <c r="JU38" s="16"/>
      <c r="JV38" s="16"/>
      <c r="JW38" s="16"/>
      <c r="JX38" s="16"/>
      <c r="JY38" s="16"/>
      <c r="JZ38" s="16"/>
      <c r="KA38" s="16"/>
      <c r="KB38" s="16"/>
    </row>
  </sheetData>
  <autoFilter ref="A2:KF37">
    <sortState ref="A4:KI36">
      <sortCondition descending="1" ref="KD2:KD37"/>
    </sortState>
  </autoFilter>
  <mergeCells count="83">
    <mergeCell ref="C1:E1"/>
    <mergeCell ref="DL1:DM1"/>
    <mergeCell ref="IU1:IW1"/>
    <mergeCell ref="JS1:JU1"/>
    <mergeCell ref="JV1:JX1"/>
    <mergeCell ref="HK1:HM1"/>
    <mergeCell ref="HN1:HR1"/>
    <mergeCell ref="HS1:HV1"/>
    <mergeCell ref="IN1:IQ1"/>
    <mergeCell ref="IE1:IH1"/>
    <mergeCell ref="II1:IK1"/>
    <mergeCell ref="IL1:IM1"/>
    <mergeCell ref="DN1:DP1"/>
    <mergeCell ref="DQ1:DS1"/>
    <mergeCell ref="DT1:DV1"/>
    <mergeCell ref="DW1:DY1"/>
    <mergeCell ref="DZ1:EB1"/>
    <mergeCell ref="JY1:KA1"/>
    <mergeCell ref="IX1:IZ1"/>
    <mergeCell ref="JA1:JC1"/>
    <mergeCell ref="JD1:JF1"/>
    <mergeCell ref="JG1:JI1"/>
    <mergeCell ref="JJ1:JL1"/>
    <mergeCell ref="JM1:JO1"/>
    <mergeCell ref="JP1:JR1"/>
    <mergeCell ref="EC1:EK1"/>
    <mergeCell ref="EL1:EO1"/>
    <mergeCell ref="EP1:EQ1"/>
    <mergeCell ref="ER1:EU1"/>
    <mergeCell ref="IR1:IT1"/>
    <mergeCell ref="HA1:HG1"/>
    <mergeCell ref="FD1:FF1"/>
    <mergeCell ref="HW1:HY1"/>
    <mergeCell ref="HZ1:ID1"/>
    <mergeCell ref="HH1:HJ1"/>
    <mergeCell ref="EV1:EZ1"/>
    <mergeCell ref="FA1:FC1"/>
    <mergeCell ref="FZ1:GK1"/>
    <mergeCell ref="GM1:GQ1"/>
    <mergeCell ref="GR1:GS1"/>
    <mergeCell ref="GT1:GV1"/>
    <mergeCell ref="GW1:GZ1"/>
    <mergeCell ref="FG1:FI1"/>
    <mergeCell ref="FJ1:FO1"/>
    <mergeCell ref="FP1:FS1"/>
    <mergeCell ref="FT1:FV1"/>
    <mergeCell ref="FW1:FY1"/>
    <mergeCell ref="DI1:DK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E1"/>
    <mergeCell ref="DF1:DH1"/>
    <mergeCell ref="BX1:BZ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F1:H1"/>
    <mergeCell ref="AN1:AP1"/>
    <mergeCell ref="U1:W1"/>
    <mergeCell ref="X1:Z1"/>
    <mergeCell ref="AA1:AC1"/>
    <mergeCell ref="AD1:AF1"/>
    <mergeCell ref="AH1:AJ1"/>
    <mergeCell ref="AK1:AM1"/>
    <mergeCell ref="I1:K1"/>
    <mergeCell ref="L1:N1"/>
    <mergeCell ref="O1:Q1"/>
    <mergeCell ref="R1:T1"/>
  </mergeCells>
  <phoneticPr fontId="2" type="noConversion"/>
  <conditionalFormatting sqref="B3:CU40">
    <cfRule type="cellIs" dxfId="760" priority="3" operator="greaterThanOrEqual">
      <formula>200</formula>
    </cfRule>
  </conditionalFormatting>
  <conditionalFormatting sqref="AD2:KB37 KD3:KF37">
    <cfRule type="cellIs" dxfId="759" priority="2" operator="greaterThanOrEqual">
      <formula>200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5" tint="0.59999389629810485"/>
  </sheetPr>
  <dimension ref="A1:XFD75"/>
  <sheetViews>
    <sheetView zoomScaleNormal="100" workbookViewId="0">
      <pane xSplit="4" topLeftCell="EK1" activePane="topRight" state="frozen"/>
      <selection pane="topRight" activeCell="FC13" sqref="FC13"/>
    </sheetView>
  </sheetViews>
  <sheetFormatPr defaultRowHeight="16.5" outlineLevelCol="1"/>
  <cols>
    <col min="2" max="4" width="9" customWidth="1"/>
    <col min="5" max="17" width="14.625" hidden="1" customWidth="1" outlineLevel="1"/>
    <col min="18" max="18" width="14.625" customWidth="1" collapsed="1"/>
    <col min="19" max="54" width="14.625" hidden="1" customWidth="1" outlineLevel="1"/>
    <col min="55" max="55" width="14.625" customWidth="1" collapsed="1"/>
    <col min="56" max="64" width="14.625" hidden="1" customWidth="1" outlineLevel="1"/>
    <col min="65" max="67" width="9.875" hidden="1" customWidth="1" outlineLevel="1"/>
    <col min="68" max="68" width="9.875" hidden="1" customWidth="1" outlineLevel="1" collapsed="1"/>
    <col min="69" max="70" width="9.875" hidden="1" customWidth="1" outlineLevel="1"/>
    <col min="71" max="71" width="9.875" hidden="1" customWidth="1" outlineLevel="1" collapsed="1"/>
    <col min="72" max="73" width="9.875" hidden="1" customWidth="1" outlineLevel="1"/>
    <col min="74" max="74" width="9.875" hidden="1" customWidth="1" outlineLevel="1" collapsed="1"/>
    <col min="75" max="76" width="9.875" hidden="1" customWidth="1" outlineLevel="1"/>
    <col min="77" max="77" width="9.875" hidden="1" customWidth="1" outlineLevel="1" collapsed="1"/>
    <col min="78" max="85" width="9.875" hidden="1" customWidth="1" outlineLevel="1"/>
    <col min="86" max="86" width="9.875" hidden="1" customWidth="1" outlineLevel="1" collapsed="1"/>
    <col min="87" max="103" width="9.875" hidden="1" customWidth="1" outlineLevel="1"/>
    <col min="104" max="104" width="9.875" customWidth="1" collapsed="1"/>
    <col min="105" max="150" width="9.875" customWidth="1"/>
    <col min="151" max="152" width="9.875" hidden="1" customWidth="1" outlineLevel="1"/>
    <col min="153" max="153" width="14.625" style="117" customWidth="1" collapsed="1"/>
    <col min="154" max="154" width="7" style="318" hidden="1" customWidth="1"/>
    <col min="155" max="156" width="14.625" style="117" customWidth="1"/>
    <col min="157" max="157" width="14.625" style="326" customWidth="1"/>
    <col min="158" max="159" width="9" style="157" customWidth="1"/>
    <col min="160" max="160" width="9" customWidth="1"/>
    <col min="161" max="162" width="12" bestFit="1" customWidth="1"/>
    <col min="163" max="163" width="9" customWidth="1"/>
    <col min="353" max="388" width="0" hidden="1" customWidth="1"/>
    <col min="390" max="402" width="0" hidden="1" customWidth="1"/>
    <col min="609" max="644" width="0" hidden="1" customWidth="1"/>
    <col min="646" max="658" width="0" hidden="1" customWidth="1"/>
    <col min="865" max="900" width="0" hidden="1" customWidth="1"/>
    <col min="902" max="914" width="0" hidden="1" customWidth="1"/>
    <col min="1121" max="1156" width="0" hidden="1" customWidth="1"/>
    <col min="1158" max="1170" width="0" hidden="1" customWidth="1"/>
    <col min="1377" max="1412" width="0" hidden="1" customWidth="1"/>
    <col min="1414" max="1426" width="0" hidden="1" customWidth="1"/>
    <col min="1633" max="1668" width="0" hidden="1" customWidth="1"/>
    <col min="1670" max="1682" width="0" hidden="1" customWidth="1"/>
    <col min="1889" max="1924" width="0" hidden="1" customWidth="1"/>
    <col min="1926" max="1938" width="0" hidden="1" customWidth="1"/>
    <col min="2145" max="2180" width="0" hidden="1" customWidth="1"/>
    <col min="2182" max="2194" width="0" hidden="1" customWidth="1"/>
    <col min="2401" max="2436" width="0" hidden="1" customWidth="1"/>
    <col min="2438" max="2450" width="0" hidden="1" customWidth="1"/>
    <col min="2657" max="2692" width="0" hidden="1" customWidth="1"/>
    <col min="2694" max="2706" width="0" hidden="1" customWidth="1"/>
    <col min="2913" max="2948" width="0" hidden="1" customWidth="1"/>
    <col min="2950" max="2962" width="0" hidden="1" customWidth="1"/>
    <col min="3169" max="3204" width="0" hidden="1" customWidth="1"/>
    <col min="3206" max="3218" width="0" hidden="1" customWidth="1"/>
    <col min="3425" max="3460" width="0" hidden="1" customWidth="1"/>
    <col min="3462" max="3474" width="0" hidden="1" customWidth="1"/>
    <col min="3681" max="3716" width="0" hidden="1" customWidth="1"/>
    <col min="3718" max="3730" width="0" hidden="1" customWidth="1"/>
    <col min="3937" max="3972" width="0" hidden="1" customWidth="1"/>
    <col min="3974" max="3986" width="0" hidden="1" customWidth="1"/>
    <col min="4193" max="4228" width="0" hidden="1" customWidth="1"/>
    <col min="4230" max="4242" width="0" hidden="1" customWidth="1"/>
    <col min="4449" max="4484" width="0" hidden="1" customWidth="1"/>
    <col min="4486" max="4498" width="0" hidden="1" customWidth="1"/>
    <col min="4705" max="4740" width="0" hidden="1" customWidth="1"/>
    <col min="4742" max="4754" width="0" hidden="1" customWidth="1"/>
    <col min="4961" max="4996" width="0" hidden="1" customWidth="1"/>
    <col min="4998" max="5010" width="0" hidden="1" customWidth="1"/>
    <col min="5217" max="5252" width="0" hidden="1" customWidth="1"/>
    <col min="5254" max="5266" width="0" hidden="1" customWidth="1"/>
    <col min="5473" max="5508" width="0" hidden="1" customWidth="1"/>
    <col min="5510" max="5522" width="0" hidden="1" customWidth="1"/>
    <col min="5729" max="5764" width="0" hidden="1" customWidth="1"/>
    <col min="5766" max="5778" width="0" hidden="1" customWidth="1"/>
    <col min="5985" max="6020" width="0" hidden="1" customWidth="1"/>
    <col min="6022" max="6034" width="0" hidden="1" customWidth="1"/>
    <col min="6241" max="6276" width="0" hidden="1" customWidth="1"/>
    <col min="6278" max="6290" width="0" hidden="1" customWidth="1"/>
    <col min="6497" max="6532" width="0" hidden="1" customWidth="1"/>
    <col min="6534" max="6546" width="0" hidden="1" customWidth="1"/>
    <col min="6753" max="6788" width="0" hidden="1" customWidth="1"/>
    <col min="6790" max="6802" width="0" hidden="1" customWidth="1"/>
    <col min="7009" max="7044" width="0" hidden="1" customWidth="1"/>
    <col min="7046" max="7058" width="0" hidden="1" customWidth="1"/>
    <col min="7265" max="7300" width="0" hidden="1" customWidth="1"/>
    <col min="7302" max="7314" width="0" hidden="1" customWidth="1"/>
    <col min="7521" max="7556" width="0" hidden="1" customWidth="1"/>
    <col min="7558" max="7570" width="0" hidden="1" customWidth="1"/>
    <col min="7777" max="7812" width="0" hidden="1" customWidth="1"/>
    <col min="7814" max="7826" width="0" hidden="1" customWidth="1"/>
    <col min="8033" max="8068" width="0" hidden="1" customWidth="1"/>
    <col min="8070" max="8082" width="0" hidden="1" customWidth="1"/>
    <col min="8289" max="8324" width="0" hidden="1" customWidth="1"/>
    <col min="8326" max="8338" width="0" hidden="1" customWidth="1"/>
    <col min="8545" max="8580" width="0" hidden="1" customWidth="1"/>
    <col min="8582" max="8594" width="0" hidden="1" customWidth="1"/>
    <col min="8801" max="8836" width="0" hidden="1" customWidth="1"/>
    <col min="8838" max="8850" width="0" hidden="1" customWidth="1"/>
    <col min="9057" max="9092" width="0" hidden="1" customWidth="1"/>
    <col min="9094" max="9106" width="0" hidden="1" customWidth="1"/>
    <col min="9313" max="9348" width="0" hidden="1" customWidth="1"/>
    <col min="9350" max="9362" width="0" hidden="1" customWidth="1"/>
    <col min="9569" max="9604" width="0" hidden="1" customWidth="1"/>
    <col min="9606" max="9618" width="0" hidden="1" customWidth="1"/>
    <col min="9825" max="9860" width="0" hidden="1" customWidth="1"/>
    <col min="9862" max="9874" width="0" hidden="1" customWidth="1"/>
    <col min="10081" max="10116" width="0" hidden="1" customWidth="1"/>
    <col min="10118" max="10130" width="0" hidden="1" customWidth="1"/>
    <col min="10337" max="10372" width="0" hidden="1" customWidth="1"/>
    <col min="10374" max="10386" width="0" hidden="1" customWidth="1"/>
    <col min="10593" max="10628" width="0" hidden="1" customWidth="1"/>
    <col min="10630" max="10642" width="0" hidden="1" customWidth="1"/>
    <col min="10849" max="10884" width="0" hidden="1" customWidth="1"/>
    <col min="10886" max="10898" width="0" hidden="1" customWidth="1"/>
    <col min="11105" max="11140" width="0" hidden="1" customWidth="1"/>
    <col min="11142" max="11154" width="0" hidden="1" customWidth="1"/>
    <col min="11361" max="11396" width="0" hidden="1" customWidth="1"/>
    <col min="11398" max="11410" width="0" hidden="1" customWidth="1"/>
    <col min="11617" max="11652" width="0" hidden="1" customWidth="1"/>
    <col min="11654" max="11666" width="0" hidden="1" customWidth="1"/>
    <col min="11873" max="11908" width="0" hidden="1" customWidth="1"/>
    <col min="11910" max="11922" width="0" hidden="1" customWidth="1"/>
    <col min="12129" max="12164" width="0" hidden="1" customWidth="1"/>
    <col min="12166" max="12178" width="0" hidden="1" customWidth="1"/>
    <col min="12385" max="12420" width="0" hidden="1" customWidth="1"/>
    <col min="12422" max="12434" width="0" hidden="1" customWidth="1"/>
    <col min="12641" max="12676" width="0" hidden="1" customWidth="1"/>
    <col min="12678" max="12690" width="0" hidden="1" customWidth="1"/>
    <col min="12897" max="12932" width="0" hidden="1" customWidth="1"/>
    <col min="12934" max="12946" width="0" hidden="1" customWidth="1"/>
    <col min="13153" max="13188" width="0" hidden="1" customWidth="1"/>
    <col min="13190" max="13202" width="0" hidden="1" customWidth="1"/>
    <col min="13409" max="13444" width="0" hidden="1" customWidth="1"/>
    <col min="13446" max="13458" width="0" hidden="1" customWidth="1"/>
    <col min="13665" max="13700" width="0" hidden="1" customWidth="1"/>
    <col min="13702" max="13714" width="0" hidden="1" customWidth="1"/>
    <col min="13921" max="13956" width="0" hidden="1" customWidth="1"/>
    <col min="13958" max="13970" width="0" hidden="1" customWidth="1"/>
    <col min="14177" max="14212" width="0" hidden="1" customWidth="1"/>
    <col min="14214" max="14226" width="0" hidden="1" customWidth="1"/>
    <col min="14433" max="14468" width="0" hidden="1" customWidth="1"/>
    <col min="14470" max="14482" width="0" hidden="1" customWidth="1"/>
    <col min="14689" max="14724" width="0" hidden="1" customWidth="1"/>
    <col min="14726" max="14738" width="0" hidden="1" customWidth="1"/>
    <col min="14945" max="14980" width="0" hidden="1" customWidth="1"/>
    <col min="14982" max="14994" width="0" hidden="1" customWidth="1"/>
    <col min="15201" max="15236" width="0" hidden="1" customWidth="1"/>
    <col min="15238" max="15250" width="0" hidden="1" customWidth="1"/>
    <col min="15457" max="15492" width="0" hidden="1" customWidth="1"/>
    <col min="15494" max="15506" width="0" hidden="1" customWidth="1"/>
    <col min="15713" max="15748" width="0" hidden="1" customWidth="1"/>
    <col min="15750" max="15762" width="0" hidden="1" customWidth="1"/>
    <col min="15969" max="16004" width="0" hidden="1" customWidth="1"/>
    <col min="16006" max="16018" width="0" hidden="1" customWidth="1"/>
    <col min="16225" max="16260" width="0" hidden="1" customWidth="1"/>
    <col min="16262" max="16274" width="0" hidden="1" customWidth="1"/>
  </cols>
  <sheetData>
    <row r="1" spans="1:16384">
      <c r="A1" s="159">
        <f>COLUMN(A3)</f>
        <v>1</v>
      </c>
      <c r="C1">
        <f t="shared" ref="C1:BB1" si="0">COLUMN(C3)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>COLUMN(R3)</f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  <c r="AC1">
        <f t="shared" si="0"/>
        <v>29</v>
      </c>
      <c r="AD1">
        <f t="shared" si="0"/>
        <v>30</v>
      </c>
      <c r="AE1">
        <f t="shared" si="0"/>
        <v>31</v>
      </c>
      <c r="AF1">
        <f t="shared" si="0"/>
        <v>32</v>
      </c>
      <c r="AG1">
        <f t="shared" si="0"/>
        <v>33</v>
      </c>
      <c r="AH1">
        <f t="shared" si="0"/>
        <v>34</v>
      </c>
      <c r="AI1">
        <f t="shared" si="0"/>
        <v>35</v>
      </c>
      <c r="AJ1">
        <f t="shared" si="0"/>
        <v>36</v>
      </c>
      <c r="AK1">
        <f t="shared" si="0"/>
        <v>37</v>
      </c>
      <c r="AL1">
        <f t="shared" si="0"/>
        <v>38</v>
      </c>
      <c r="AM1">
        <f t="shared" si="0"/>
        <v>39</v>
      </c>
      <c r="AN1">
        <f t="shared" si="0"/>
        <v>40</v>
      </c>
      <c r="AO1">
        <f t="shared" si="0"/>
        <v>41</v>
      </c>
      <c r="AP1">
        <f t="shared" si="0"/>
        <v>42</v>
      </c>
      <c r="AQ1">
        <f t="shared" si="0"/>
        <v>43</v>
      </c>
      <c r="AR1">
        <f t="shared" si="0"/>
        <v>44</v>
      </c>
      <c r="AS1">
        <f t="shared" si="0"/>
        <v>45</v>
      </c>
      <c r="AT1">
        <f t="shared" si="0"/>
        <v>46</v>
      </c>
      <c r="AU1">
        <f t="shared" si="0"/>
        <v>47</v>
      </c>
      <c r="AV1">
        <f t="shared" si="0"/>
        <v>48</v>
      </c>
      <c r="AW1">
        <f t="shared" si="0"/>
        <v>49</v>
      </c>
      <c r="AX1">
        <f t="shared" si="0"/>
        <v>50</v>
      </c>
      <c r="AY1">
        <f t="shared" si="0"/>
        <v>51</v>
      </c>
      <c r="AZ1">
        <f t="shared" si="0"/>
        <v>52</v>
      </c>
      <c r="BA1">
        <f t="shared" si="0"/>
        <v>53</v>
      </c>
      <c r="BB1">
        <f t="shared" si="0"/>
        <v>54</v>
      </c>
      <c r="BC1">
        <f>COLUMN(BC3)</f>
        <v>55</v>
      </c>
      <c r="BD1">
        <f t="shared" ref="BD1:EV1" si="1">COLUMN(BD3)</f>
        <v>56</v>
      </c>
      <c r="BE1">
        <f t="shared" si="1"/>
        <v>57</v>
      </c>
      <c r="BF1">
        <f t="shared" si="1"/>
        <v>58</v>
      </c>
      <c r="BG1">
        <f t="shared" si="1"/>
        <v>59</v>
      </c>
      <c r="BH1">
        <f t="shared" si="1"/>
        <v>60</v>
      </c>
      <c r="BI1">
        <f t="shared" si="1"/>
        <v>61</v>
      </c>
      <c r="BJ1">
        <f t="shared" si="1"/>
        <v>62</v>
      </c>
      <c r="BK1">
        <f t="shared" si="1"/>
        <v>63</v>
      </c>
      <c r="BL1">
        <f t="shared" si="1"/>
        <v>64</v>
      </c>
      <c r="BM1">
        <f t="shared" si="1"/>
        <v>65</v>
      </c>
      <c r="BN1">
        <f t="shared" si="1"/>
        <v>66</v>
      </c>
      <c r="BO1">
        <f t="shared" si="1"/>
        <v>67</v>
      </c>
      <c r="BP1">
        <f t="shared" si="1"/>
        <v>68</v>
      </c>
      <c r="BQ1">
        <f t="shared" si="1"/>
        <v>69</v>
      </c>
      <c r="BR1">
        <f t="shared" si="1"/>
        <v>70</v>
      </c>
      <c r="BS1">
        <f t="shared" si="1"/>
        <v>71</v>
      </c>
      <c r="BT1">
        <f t="shared" si="1"/>
        <v>72</v>
      </c>
      <c r="BU1">
        <f t="shared" si="1"/>
        <v>73</v>
      </c>
      <c r="BV1">
        <f t="shared" si="1"/>
        <v>74</v>
      </c>
      <c r="BW1">
        <f t="shared" si="1"/>
        <v>75</v>
      </c>
      <c r="BX1">
        <f t="shared" si="1"/>
        <v>76</v>
      </c>
      <c r="BY1">
        <f t="shared" si="1"/>
        <v>77</v>
      </c>
      <c r="BZ1">
        <f t="shared" si="1"/>
        <v>78</v>
      </c>
      <c r="CA1">
        <f t="shared" si="1"/>
        <v>79</v>
      </c>
      <c r="CB1">
        <f t="shared" si="1"/>
        <v>80</v>
      </c>
      <c r="CC1">
        <f t="shared" si="1"/>
        <v>81</v>
      </c>
      <c r="CD1">
        <f t="shared" si="1"/>
        <v>82</v>
      </c>
      <c r="CE1">
        <f t="shared" si="1"/>
        <v>83</v>
      </c>
      <c r="CF1">
        <f t="shared" si="1"/>
        <v>84</v>
      </c>
      <c r="CG1">
        <f t="shared" si="1"/>
        <v>85</v>
      </c>
      <c r="CH1">
        <f t="shared" si="1"/>
        <v>86</v>
      </c>
      <c r="CI1">
        <f t="shared" si="1"/>
        <v>87</v>
      </c>
      <c r="CJ1">
        <f t="shared" si="1"/>
        <v>88</v>
      </c>
      <c r="CK1">
        <f t="shared" si="1"/>
        <v>89</v>
      </c>
      <c r="CL1">
        <f t="shared" si="1"/>
        <v>90</v>
      </c>
      <c r="CM1">
        <f t="shared" si="1"/>
        <v>91</v>
      </c>
      <c r="CN1">
        <f t="shared" si="1"/>
        <v>92</v>
      </c>
      <c r="CO1">
        <f t="shared" si="1"/>
        <v>93</v>
      </c>
      <c r="CP1">
        <f t="shared" si="1"/>
        <v>94</v>
      </c>
      <c r="CQ1">
        <f t="shared" si="1"/>
        <v>95</v>
      </c>
      <c r="CR1">
        <f t="shared" si="1"/>
        <v>96</v>
      </c>
      <c r="CS1">
        <f t="shared" si="1"/>
        <v>97</v>
      </c>
      <c r="CT1">
        <f t="shared" si="1"/>
        <v>98</v>
      </c>
      <c r="CU1">
        <f t="shared" si="1"/>
        <v>99</v>
      </c>
      <c r="CV1">
        <f t="shared" si="1"/>
        <v>100</v>
      </c>
      <c r="CW1">
        <f t="shared" si="1"/>
        <v>101</v>
      </c>
      <c r="CX1">
        <f t="shared" si="1"/>
        <v>102</v>
      </c>
      <c r="CY1">
        <f t="shared" si="1"/>
        <v>103</v>
      </c>
      <c r="DB1">
        <f t="shared" si="1"/>
        <v>106</v>
      </c>
      <c r="DC1">
        <f t="shared" si="1"/>
        <v>107</v>
      </c>
      <c r="DD1">
        <f t="shared" si="1"/>
        <v>108</v>
      </c>
      <c r="DE1">
        <f t="shared" si="1"/>
        <v>109</v>
      </c>
      <c r="DF1">
        <f t="shared" si="1"/>
        <v>110</v>
      </c>
      <c r="DG1">
        <f t="shared" si="1"/>
        <v>111</v>
      </c>
      <c r="DH1">
        <f t="shared" si="1"/>
        <v>112</v>
      </c>
      <c r="DI1">
        <f t="shared" si="1"/>
        <v>113</v>
      </c>
      <c r="DJ1">
        <f t="shared" si="1"/>
        <v>114</v>
      </c>
      <c r="DN1" s="160">
        <f>COLUMN(DN3)</f>
        <v>118</v>
      </c>
      <c r="DQ1" s="160">
        <f>COLUMN(DQ3)</f>
        <v>121</v>
      </c>
      <c r="DT1" s="160">
        <f>COLUMN(DT3)</f>
        <v>124</v>
      </c>
      <c r="DW1" s="160">
        <f>COLUMN(DW3)</f>
        <v>127</v>
      </c>
      <c r="EU1">
        <f t="shared" si="1"/>
        <v>151</v>
      </c>
      <c r="EV1">
        <f t="shared" si="1"/>
        <v>152</v>
      </c>
      <c r="EW1" s="160">
        <f>COLUMN(EW3)</f>
        <v>153</v>
      </c>
      <c r="EX1" s="160">
        <f t="shared" ref="EX1:FA1" si="2">COLUMN(EX3)</f>
        <v>154</v>
      </c>
      <c r="EY1" s="160">
        <f>COLUMN(EY3)</f>
        <v>155</v>
      </c>
      <c r="EZ1" s="160">
        <f t="shared" si="2"/>
        <v>156</v>
      </c>
      <c r="FA1" s="347">
        <f t="shared" si="2"/>
        <v>157</v>
      </c>
      <c r="FD1" s="159"/>
      <c r="FE1" s="159"/>
      <c r="FF1" s="159"/>
      <c r="FG1" s="159"/>
      <c r="FH1" s="159"/>
      <c r="FI1" s="159"/>
      <c r="FJ1" s="159"/>
      <c r="FK1" s="159"/>
      <c r="FL1" s="159"/>
      <c r="FM1" s="159"/>
      <c r="FN1" s="159"/>
      <c r="FO1" s="159"/>
      <c r="FP1" s="159"/>
      <c r="FQ1" s="159"/>
      <c r="FR1" s="159"/>
      <c r="FS1" s="159"/>
      <c r="FT1" s="159"/>
      <c r="FU1" s="159"/>
      <c r="FV1" s="159"/>
      <c r="FW1" s="159"/>
      <c r="FX1" s="159"/>
      <c r="FY1" s="159"/>
      <c r="FZ1" s="159"/>
      <c r="GA1" s="159"/>
      <c r="GB1" s="159"/>
      <c r="GC1" s="159"/>
      <c r="GD1" s="159"/>
      <c r="GE1" s="159"/>
      <c r="GF1" s="159"/>
      <c r="GG1" s="159"/>
      <c r="GH1" s="159"/>
      <c r="GI1" s="159"/>
      <c r="GJ1" s="159"/>
      <c r="GK1" s="159"/>
      <c r="GL1" s="159"/>
      <c r="GM1" s="159"/>
      <c r="GN1" s="159"/>
      <c r="GO1" s="159"/>
      <c r="GP1" s="159"/>
      <c r="GQ1" s="159"/>
      <c r="GR1" s="159"/>
      <c r="GS1" s="159"/>
      <c r="GT1" s="159"/>
      <c r="GU1" s="159"/>
      <c r="GV1" s="159"/>
      <c r="GW1" s="159"/>
      <c r="GX1" s="159"/>
      <c r="GY1" s="159"/>
      <c r="GZ1" s="159"/>
      <c r="HA1" s="159"/>
      <c r="HB1" s="159"/>
      <c r="HC1" s="159"/>
      <c r="HD1" s="159"/>
      <c r="HE1" s="159"/>
      <c r="HF1" s="159"/>
      <c r="HG1" s="159"/>
      <c r="HH1" s="159"/>
      <c r="HI1" s="159"/>
      <c r="HJ1" s="159"/>
      <c r="HK1" s="159"/>
      <c r="HL1" s="159"/>
      <c r="HM1" s="159"/>
      <c r="HN1" s="159"/>
      <c r="HO1" s="159"/>
      <c r="HP1" s="159"/>
      <c r="HQ1" s="159"/>
      <c r="HR1" s="159"/>
      <c r="HS1" s="159"/>
      <c r="HT1" s="159"/>
      <c r="HU1" s="159"/>
      <c r="HV1" s="159"/>
      <c r="HW1" s="159"/>
      <c r="HX1" s="159"/>
      <c r="HY1" s="159"/>
      <c r="HZ1" s="159"/>
      <c r="IA1" s="159"/>
      <c r="IB1" s="159"/>
      <c r="IC1" s="159"/>
      <c r="ID1" s="159"/>
      <c r="IE1" s="159"/>
      <c r="IF1" s="159"/>
      <c r="IG1" s="159"/>
      <c r="IH1" s="159"/>
      <c r="II1" s="159"/>
      <c r="IJ1" s="159"/>
      <c r="IK1" s="159"/>
      <c r="IL1" s="159"/>
      <c r="IM1" s="159"/>
      <c r="IN1" s="159"/>
      <c r="IO1" s="159"/>
      <c r="IP1" s="159"/>
      <c r="IQ1" s="159"/>
      <c r="IR1" s="159"/>
      <c r="IS1" s="159"/>
      <c r="IT1" s="159"/>
      <c r="IU1" s="159"/>
      <c r="IV1" s="159"/>
      <c r="IW1" s="159"/>
      <c r="IX1" s="159"/>
      <c r="IY1" s="159"/>
      <c r="IZ1" s="159"/>
      <c r="JA1" s="159"/>
      <c r="JB1" s="159"/>
      <c r="JC1" s="159"/>
      <c r="JD1" s="159"/>
      <c r="JE1" s="159"/>
      <c r="JF1" s="159"/>
      <c r="JG1" s="159"/>
      <c r="JH1" s="159"/>
      <c r="JI1" s="159"/>
      <c r="JJ1" s="159"/>
      <c r="JK1" s="159"/>
      <c r="JL1" s="159"/>
      <c r="JM1" s="159"/>
      <c r="JN1" s="159"/>
      <c r="JO1" s="159"/>
      <c r="JP1" s="159"/>
      <c r="JQ1" s="159"/>
      <c r="JR1" s="159"/>
      <c r="JS1" s="159"/>
      <c r="JT1" s="159"/>
      <c r="JU1" s="159"/>
      <c r="JV1" s="159"/>
      <c r="JW1" s="159"/>
      <c r="JX1" s="159"/>
      <c r="JY1" s="159"/>
      <c r="JZ1" s="159"/>
      <c r="KA1" s="159"/>
      <c r="KB1" s="159"/>
      <c r="KC1" s="159"/>
      <c r="KD1" s="159"/>
      <c r="KE1" s="159"/>
      <c r="KF1" s="159"/>
      <c r="KG1" s="159"/>
      <c r="KH1" s="159"/>
      <c r="KI1" s="159"/>
      <c r="KJ1" s="159"/>
      <c r="KK1" s="159"/>
      <c r="KL1" s="159"/>
      <c r="KM1" s="159"/>
      <c r="KN1" s="159"/>
      <c r="KO1" s="159"/>
      <c r="KP1" s="159"/>
      <c r="KQ1" s="159"/>
      <c r="KR1" s="159"/>
      <c r="KS1" s="159"/>
      <c r="KT1" s="159"/>
      <c r="KU1" s="159"/>
      <c r="KV1" s="159"/>
      <c r="KW1" s="159"/>
      <c r="KX1" s="159"/>
      <c r="KY1" s="159"/>
      <c r="KZ1" s="159"/>
      <c r="LA1" s="159"/>
      <c r="LB1" s="159"/>
      <c r="LC1" s="159"/>
      <c r="LD1" s="159"/>
      <c r="LE1" s="159"/>
      <c r="LF1" s="159"/>
      <c r="LG1" s="159"/>
      <c r="LH1" s="159"/>
      <c r="LI1" s="159"/>
      <c r="LJ1" s="159"/>
      <c r="LK1" s="159"/>
      <c r="LL1" s="159"/>
      <c r="LM1" s="159"/>
      <c r="LN1" s="159"/>
      <c r="LO1" s="159"/>
      <c r="LP1" s="159"/>
      <c r="LQ1" s="159"/>
      <c r="LR1" s="159"/>
      <c r="LS1" s="159"/>
      <c r="LT1" s="159"/>
      <c r="LU1" s="159"/>
      <c r="LV1" s="159"/>
      <c r="LW1" s="159"/>
      <c r="LX1" s="159"/>
      <c r="LY1" s="159"/>
      <c r="LZ1" s="159"/>
      <c r="MA1" s="159"/>
      <c r="MB1" s="159"/>
      <c r="MC1" s="159"/>
      <c r="MD1" s="159"/>
      <c r="ME1" s="159"/>
      <c r="MF1" s="159"/>
      <c r="MG1" s="159"/>
      <c r="MH1" s="159"/>
      <c r="MI1" s="159"/>
      <c r="MJ1" s="159"/>
      <c r="MK1" s="159"/>
      <c r="ML1" s="159"/>
      <c r="MM1" s="159"/>
      <c r="MN1" s="159"/>
      <c r="NY1" s="159"/>
      <c r="OM1" s="159"/>
      <c r="ON1" s="159"/>
      <c r="OO1" s="159"/>
      <c r="OP1" s="159"/>
      <c r="OQ1" s="159"/>
      <c r="OR1" s="159"/>
      <c r="OS1" s="159"/>
      <c r="OT1" s="159"/>
      <c r="OU1" s="159"/>
      <c r="OV1" s="159"/>
      <c r="OW1" s="159"/>
      <c r="OX1" s="159"/>
      <c r="OY1" s="159"/>
      <c r="OZ1" s="159"/>
      <c r="PA1" s="159"/>
      <c r="PB1" s="159"/>
      <c r="PC1" s="159"/>
      <c r="PD1" s="159"/>
      <c r="PE1" s="159"/>
      <c r="PF1" s="159"/>
      <c r="PG1" s="159"/>
      <c r="PH1" s="159"/>
      <c r="PI1" s="159"/>
      <c r="PJ1" s="159"/>
      <c r="PK1" s="159"/>
      <c r="PL1" s="159"/>
      <c r="PM1" s="159"/>
      <c r="PN1" s="159"/>
      <c r="PO1" s="159"/>
      <c r="PP1" s="159"/>
      <c r="PQ1" s="159"/>
      <c r="PR1" s="159"/>
      <c r="PS1" s="159"/>
      <c r="PT1" s="159"/>
      <c r="PU1" s="159"/>
      <c r="PV1" s="159"/>
      <c r="PW1" s="159"/>
      <c r="PX1" s="159"/>
      <c r="PY1" s="159"/>
      <c r="PZ1" s="159"/>
      <c r="QA1" s="159"/>
      <c r="QB1" s="159"/>
      <c r="QC1" s="159"/>
      <c r="QD1" s="159"/>
      <c r="QE1" s="159"/>
      <c r="QF1" s="159"/>
      <c r="QG1" s="159"/>
      <c r="QH1" s="159"/>
      <c r="QI1" s="159"/>
      <c r="QJ1" s="159"/>
      <c r="QK1" s="159"/>
      <c r="QL1" s="159"/>
      <c r="QM1" s="159"/>
      <c r="QN1" s="159"/>
      <c r="QO1" s="159"/>
      <c r="QP1" s="159"/>
      <c r="QQ1" s="159"/>
      <c r="QR1" s="159"/>
      <c r="QS1" s="159"/>
      <c r="QT1" s="159"/>
      <c r="QU1" s="159"/>
      <c r="QV1" s="159"/>
      <c r="QW1" s="159"/>
      <c r="QX1" s="159"/>
      <c r="QY1" s="159"/>
      <c r="QZ1" s="159"/>
      <c r="RA1" s="159"/>
      <c r="RB1" s="159"/>
      <c r="RC1" s="159"/>
      <c r="RD1" s="159"/>
      <c r="RE1" s="159"/>
      <c r="RF1" s="159"/>
      <c r="RG1" s="159"/>
      <c r="RH1" s="159"/>
      <c r="RI1" s="159"/>
      <c r="RJ1" s="159"/>
      <c r="RK1" s="159"/>
      <c r="RL1" s="159"/>
      <c r="RM1" s="159"/>
      <c r="RN1" s="159"/>
      <c r="RO1" s="159"/>
      <c r="RP1" s="159"/>
      <c r="RQ1" s="159"/>
      <c r="RR1" s="159"/>
      <c r="RS1" s="159"/>
      <c r="RT1" s="159"/>
      <c r="RU1" s="159"/>
      <c r="RV1" s="159"/>
      <c r="RW1" s="159"/>
      <c r="RX1" s="159"/>
      <c r="RY1" s="159"/>
      <c r="RZ1" s="159"/>
      <c r="SA1" s="159"/>
      <c r="SB1" s="159"/>
      <c r="SC1" s="159"/>
      <c r="SD1" s="159"/>
      <c r="SE1" s="159"/>
      <c r="SF1" s="159"/>
      <c r="SG1" s="159"/>
      <c r="SH1" s="159"/>
      <c r="SI1" s="159"/>
      <c r="SJ1" s="159"/>
      <c r="SK1" s="159"/>
      <c r="SL1" s="159"/>
      <c r="SM1" s="159"/>
      <c r="SN1" s="159"/>
      <c r="SO1" s="159"/>
      <c r="SP1" s="159"/>
      <c r="SQ1" s="159"/>
      <c r="SR1" s="159"/>
      <c r="SS1" s="159"/>
      <c r="ST1" s="159"/>
      <c r="SU1" s="159"/>
      <c r="SV1" s="159"/>
      <c r="SW1" s="159"/>
      <c r="SX1" s="159"/>
      <c r="SY1" s="159"/>
      <c r="SZ1" s="159"/>
      <c r="TA1" s="159"/>
      <c r="TB1" s="159"/>
      <c r="TC1" s="159"/>
      <c r="TD1" s="159"/>
      <c r="TE1" s="159"/>
      <c r="TF1" s="159"/>
      <c r="TG1" s="159"/>
      <c r="TH1" s="159"/>
      <c r="TI1" s="159"/>
      <c r="TJ1" s="159"/>
      <c r="TK1" s="159"/>
      <c r="TL1" s="159"/>
      <c r="TM1" s="159"/>
      <c r="TN1" s="159"/>
      <c r="TO1" s="159"/>
      <c r="TP1" s="159"/>
      <c r="TQ1" s="159"/>
      <c r="TR1" s="159"/>
      <c r="TS1" s="159"/>
      <c r="TT1" s="159"/>
      <c r="TU1" s="159"/>
      <c r="TV1" s="159"/>
      <c r="TW1" s="159"/>
      <c r="TX1" s="159"/>
      <c r="TY1" s="159"/>
      <c r="TZ1" s="159"/>
      <c r="UA1" s="159"/>
      <c r="UB1" s="159"/>
      <c r="UC1" s="159"/>
      <c r="UD1" s="159"/>
      <c r="UE1" s="159"/>
      <c r="UF1" s="159"/>
      <c r="UG1" s="159"/>
      <c r="UH1" s="159"/>
      <c r="UI1" s="159"/>
      <c r="UJ1" s="159"/>
      <c r="UK1" s="159"/>
      <c r="UL1" s="159"/>
      <c r="UM1" s="159"/>
      <c r="UN1" s="159"/>
      <c r="UO1" s="159"/>
      <c r="UP1" s="159"/>
      <c r="UQ1" s="159"/>
      <c r="UR1" s="159"/>
      <c r="US1" s="159"/>
      <c r="UT1" s="159"/>
      <c r="UU1" s="159"/>
      <c r="UV1" s="159"/>
      <c r="UW1" s="159"/>
      <c r="UX1" s="159"/>
      <c r="UY1" s="159"/>
      <c r="UZ1" s="159"/>
      <c r="VA1" s="159"/>
      <c r="VB1" s="159"/>
      <c r="VC1" s="159"/>
      <c r="VD1" s="159"/>
      <c r="VE1" s="159"/>
      <c r="VF1" s="159"/>
      <c r="VG1" s="159"/>
      <c r="VH1" s="159"/>
      <c r="VI1" s="159"/>
      <c r="VJ1" s="159"/>
      <c r="VK1" s="159"/>
      <c r="VL1" s="159"/>
      <c r="VM1" s="159"/>
      <c r="VN1" s="159"/>
      <c r="VO1" s="159"/>
      <c r="VP1" s="159"/>
      <c r="VQ1" s="159"/>
      <c r="VR1" s="159"/>
      <c r="VS1" s="159"/>
      <c r="VT1" s="159"/>
      <c r="VU1" s="159"/>
      <c r="VV1" s="159"/>
      <c r="VW1" s="159"/>
      <c r="VX1" s="159"/>
      <c r="VY1" s="159"/>
      <c r="VZ1" s="159"/>
      <c r="WA1" s="159"/>
      <c r="WB1" s="159"/>
      <c r="WC1" s="159"/>
      <c r="WD1" s="159"/>
      <c r="WE1" s="159"/>
      <c r="WF1" s="159"/>
      <c r="WG1" s="159"/>
      <c r="WH1" s="159"/>
      <c r="WI1" s="159"/>
      <c r="WJ1" s="159"/>
      <c r="XU1" s="159"/>
      <c r="YI1" s="159"/>
      <c r="YJ1" s="159"/>
      <c r="YK1" s="159"/>
      <c r="YL1" s="159"/>
      <c r="YM1" s="159"/>
      <c r="YN1" s="159"/>
      <c r="YO1" s="159"/>
      <c r="YP1" s="159"/>
      <c r="YQ1" s="159"/>
      <c r="YR1" s="159"/>
      <c r="YS1" s="159"/>
      <c r="YT1" s="159"/>
      <c r="YU1" s="159"/>
      <c r="YV1" s="159"/>
      <c r="YW1" s="159"/>
      <c r="YX1" s="159"/>
      <c r="YY1" s="159"/>
      <c r="YZ1" s="159"/>
      <c r="ZA1" s="159"/>
      <c r="ZB1" s="159"/>
      <c r="ZC1" s="159"/>
      <c r="ZD1" s="159"/>
      <c r="ZE1" s="159"/>
      <c r="ZF1" s="159"/>
      <c r="ZG1" s="159"/>
      <c r="ZH1" s="159"/>
      <c r="ZI1" s="159"/>
      <c r="ZJ1" s="159"/>
      <c r="ZK1" s="159"/>
      <c r="ZL1" s="159"/>
      <c r="ZM1" s="159"/>
      <c r="ZN1" s="159"/>
      <c r="ZO1" s="159"/>
      <c r="ZP1" s="159"/>
      <c r="ZQ1" s="159"/>
      <c r="ZR1" s="159"/>
      <c r="ZS1" s="159"/>
      <c r="ZT1" s="159"/>
      <c r="ZU1" s="159"/>
      <c r="ZV1" s="159"/>
      <c r="ZW1" s="159"/>
      <c r="ZX1" s="159"/>
      <c r="ZY1" s="159"/>
      <c r="ZZ1" s="159"/>
      <c r="AAA1" s="159"/>
      <c r="AAB1" s="159"/>
      <c r="AAC1" s="159"/>
      <c r="AAD1" s="159"/>
      <c r="AAE1" s="159"/>
      <c r="AAF1" s="159"/>
      <c r="AAG1" s="159"/>
      <c r="AAH1" s="159"/>
      <c r="AAI1" s="159"/>
      <c r="AAJ1" s="159"/>
      <c r="AAK1" s="159"/>
      <c r="AAL1" s="159"/>
      <c r="AAM1" s="159"/>
      <c r="AAN1" s="159"/>
      <c r="AAO1" s="159"/>
      <c r="AAP1" s="159"/>
      <c r="AAQ1" s="159"/>
      <c r="AAR1" s="159"/>
      <c r="AAS1" s="159"/>
      <c r="AAT1" s="159"/>
      <c r="AAU1" s="159"/>
      <c r="AAV1" s="159"/>
      <c r="AAW1" s="159"/>
      <c r="AAX1" s="159"/>
      <c r="AAY1" s="159"/>
      <c r="AAZ1" s="159"/>
      <c r="ABA1" s="159"/>
      <c r="ABB1" s="159"/>
      <c r="ABC1" s="159"/>
      <c r="ABD1" s="159"/>
      <c r="ABE1" s="159"/>
      <c r="ABF1" s="159"/>
      <c r="ABG1" s="159"/>
      <c r="ABH1" s="159"/>
      <c r="ABI1" s="159"/>
      <c r="ABJ1" s="159"/>
      <c r="ABK1" s="159"/>
      <c r="ABL1" s="159"/>
      <c r="ABM1" s="159"/>
      <c r="ABN1" s="159"/>
      <c r="ABO1" s="159"/>
      <c r="ABP1" s="159"/>
      <c r="ABQ1" s="159"/>
      <c r="ABR1" s="159"/>
      <c r="ABS1" s="159"/>
      <c r="ABT1" s="159"/>
      <c r="ABU1" s="159"/>
      <c r="ABV1" s="159"/>
      <c r="ABW1" s="159"/>
      <c r="ABX1" s="159"/>
      <c r="ABY1" s="159"/>
      <c r="ABZ1" s="159"/>
      <c r="ACA1" s="159"/>
      <c r="ACB1" s="159"/>
      <c r="ACC1" s="159"/>
      <c r="ACD1" s="159"/>
      <c r="ACE1" s="159"/>
      <c r="ACF1" s="159"/>
      <c r="ACG1" s="159"/>
      <c r="ACH1" s="159"/>
      <c r="ACI1" s="159"/>
      <c r="ACJ1" s="159"/>
      <c r="ACK1" s="159"/>
      <c r="ACL1" s="159"/>
      <c r="ACM1" s="159"/>
      <c r="ACN1" s="159"/>
      <c r="ACO1" s="159"/>
      <c r="ACP1" s="159"/>
      <c r="ACQ1" s="159"/>
      <c r="ACR1" s="159"/>
      <c r="ACS1" s="159"/>
      <c r="ACT1" s="159"/>
      <c r="ACU1" s="159"/>
      <c r="ACV1" s="159"/>
      <c r="ACW1" s="159"/>
      <c r="ACX1" s="159"/>
      <c r="ACY1" s="159"/>
      <c r="ACZ1" s="159"/>
      <c r="ADA1" s="159"/>
      <c r="ADB1" s="159"/>
      <c r="ADC1" s="159"/>
      <c r="ADD1" s="159"/>
      <c r="ADE1" s="159"/>
      <c r="ADF1" s="159"/>
      <c r="ADG1" s="159"/>
      <c r="ADH1" s="159"/>
      <c r="ADI1" s="159"/>
      <c r="ADJ1" s="159"/>
      <c r="ADK1" s="159"/>
      <c r="ADL1" s="159"/>
      <c r="ADM1" s="159"/>
      <c r="ADN1" s="159"/>
      <c r="ADO1" s="159"/>
      <c r="ADP1" s="159"/>
      <c r="ADQ1" s="159"/>
      <c r="ADR1" s="159"/>
      <c r="ADS1" s="159"/>
      <c r="ADT1" s="159"/>
      <c r="ADU1" s="159"/>
      <c r="ADV1" s="159"/>
      <c r="ADW1" s="159"/>
      <c r="ADX1" s="159"/>
      <c r="ADY1" s="159"/>
      <c r="ADZ1" s="159"/>
      <c r="AEA1" s="159"/>
      <c r="AEB1" s="159"/>
      <c r="AEC1" s="159"/>
      <c r="AED1" s="159"/>
      <c r="AEE1" s="159"/>
      <c r="AEF1" s="159"/>
      <c r="AEG1" s="159"/>
      <c r="AEH1" s="159"/>
      <c r="AEI1" s="159"/>
      <c r="AEJ1" s="159"/>
      <c r="AEK1" s="159"/>
      <c r="AEL1" s="159"/>
      <c r="AEM1" s="159"/>
      <c r="AEN1" s="159"/>
      <c r="AEO1" s="159"/>
      <c r="AEP1" s="159"/>
      <c r="AEQ1" s="159"/>
      <c r="AER1" s="159"/>
      <c r="AES1" s="159"/>
      <c r="AET1" s="159"/>
      <c r="AEU1" s="159"/>
      <c r="AEV1" s="159"/>
      <c r="AEW1" s="159"/>
      <c r="AEX1" s="159"/>
      <c r="AEY1" s="159"/>
      <c r="AEZ1" s="159"/>
      <c r="AFA1" s="159"/>
      <c r="AFB1" s="159"/>
      <c r="AFC1" s="159"/>
      <c r="AFD1" s="159"/>
      <c r="AFE1" s="159"/>
      <c r="AFF1" s="159"/>
      <c r="AFG1" s="159"/>
      <c r="AFH1" s="159"/>
      <c r="AFI1" s="159"/>
      <c r="AFJ1" s="159"/>
      <c r="AFK1" s="159"/>
      <c r="AFL1" s="159"/>
      <c r="AFM1" s="159"/>
      <c r="AFN1" s="159"/>
      <c r="AFO1" s="159"/>
      <c r="AFP1" s="159"/>
      <c r="AFQ1" s="159"/>
      <c r="AFR1" s="159"/>
      <c r="AFS1" s="159"/>
      <c r="AFT1" s="159"/>
      <c r="AFU1" s="159"/>
      <c r="AFV1" s="159"/>
      <c r="AFW1" s="159"/>
      <c r="AFX1" s="159"/>
      <c r="AFY1" s="159"/>
      <c r="AFZ1" s="159"/>
      <c r="AGA1" s="159"/>
      <c r="AGB1" s="159"/>
      <c r="AGC1" s="159"/>
      <c r="AGD1" s="159"/>
      <c r="AGE1" s="159"/>
      <c r="AGF1" s="159"/>
      <c r="AHQ1" s="159"/>
      <c r="AIE1" s="159"/>
      <c r="AIF1" s="159"/>
      <c r="AIG1" s="159"/>
      <c r="AIH1" s="159"/>
      <c r="AII1" s="159"/>
      <c r="AIJ1" s="159"/>
      <c r="AIK1" s="159"/>
      <c r="AIL1" s="159"/>
      <c r="AIM1" s="159"/>
      <c r="AIN1" s="159"/>
      <c r="AIO1" s="159"/>
      <c r="AIP1" s="159"/>
      <c r="AIQ1" s="159"/>
      <c r="AIR1" s="159"/>
      <c r="AIS1" s="159"/>
      <c r="AIT1" s="159"/>
      <c r="AIU1" s="159"/>
      <c r="AIV1" s="159"/>
      <c r="AIW1" s="159"/>
      <c r="AIX1" s="159"/>
      <c r="AIY1" s="159"/>
      <c r="AIZ1" s="159"/>
      <c r="AJA1" s="159"/>
      <c r="AJB1" s="159"/>
      <c r="AJC1" s="159"/>
      <c r="AJD1" s="159"/>
      <c r="AJE1" s="159"/>
      <c r="AJF1" s="159"/>
      <c r="AJG1" s="159"/>
      <c r="AJH1" s="159"/>
      <c r="AJI1" s="159"/>
      <c r="AJJ1" s="159"/>
      <c r="AJK1" s="159"/>
      <c r="AJL1" s="159"/>
      <c r="AJM1" s="159"/>
      <c r="AJN1" s="159"/>
      <c r="AJO1" s="159"/>
      <c r="AJP1" s="159"/>
      <c r="AJQ1" s="159"/>
      <c r="AJR1" s="159"/>
      <c r="AJS1" s="159"/>
      <c r="AJT1" s="159"/>
      <c r="AJU1" s="159"/>
      <c r="AJV1" s="159"/>
      <c r="AJW1" s="159"/>
      <c r="AJX1" s="159"/>
      <c r="AJY1" s="159"/>
      <c r="AJZ1" s="159"/>
      <c r="AKA1" s="159"/>
      <c r="AKB1" s="159"/>
      <c r="AKC1" s="159"/>
      <c r="AKD1" s="159"/>
      <c r="AKE1" s="159"/>
      <c r="AKF1" s="159"/>
      <c r="AKG1" s="159"/>
      <c r="AKH1" s="159"/>
      <c r="AKI1" s="159"/>
      <c r="AKJ1" s="159"/>
      <c r="AKK1" s="159"/>
      <c r="AKL1" s="159"/>
      <c r="AKM1" s="159"/>
      <c r="AKN1" s="159"/>
      <c r="AKO1" s="159"/>
      <c r="AKP1" s="159"/>
      <c r="AKQ1" s="159"/>
      <c r="AKR1" s="159"/>
      <c r="AKS1" s="159"/>
      <c r="AKT1" s="159"/>
      <c r="AKU1" s="159"/>
      <c r="AKV1" s="159"/>
      <c r="AKW1" s="159"/>
      <c r="AKX1" s="159"/>
      <c r="AKY1" s="159"/>
      <c r="AKZ1" s="159"/>
      <c r="ALA1" s="159"/>
      <c r="ALB1" s="159"/>
      <c r="ALC1" s="159"/>
      <c r="ALD1" s="159"/>
      <c r="ALE1" s="159"/>
      <c r="ALF1" s="159"/>
      <c r="ALG1" s="159"/>
      <c r="ALH1" s="159"/>
      <c r="ALI1" s="159"/>
      <c r="ALJ1" s="159"/>
      <c r="ALK1" s="159"/>
      <c r="ALL1" s="159"/>
      <c r="ALM1" s="159"/>
      <c r="ALN1" s="159"/>
      <c r="ALO1" s="159"/>
      <c r="ALP1" s="159"/>
      <c r="ALQ1" s="159"/>
      <c r="ALR1" s="159"/>
      <c r="ALS1" s="159"/>
      <c r="ALT1" s="159"/>
      <c r="ALU1" s="159"/>
      <c r="ALV1" s="159"/>
      <c r="ALW1" s="159"/>
      <c r="ALX1" s="159"/>
      <c r="ALY1" s="159"/>
      <c r="ALZ1" s="159"/>
      <c r="AMA1" s="159"/>
      <c r="AMB1" s="159"/>
      <c r="AMC1" s="159"/>
      <c r="AMD1" s="159"/>
      <c r="AME1" s="159"/>
      <c r="AMF1" s="159"/>
      <c r="AMG1" s="159"/>
      <c r="AMH1" s="159"/>
      <c r="AMI1" s="159"/>
      <c r="AMJ1" s="159"/>
      <c r="AMK1" s="159"/>
      <c r="AML1" s="159"/>
      <c r="AMM1" s="159"/>
      <c r="AMN1" s="159"/>
      <c r="AMO1" s="159"/>
      <c r="AMP1" s="159"/>
      <c r="AMQ1" s="159"/>
      <c r="AMR1" s="159"/>
      <c r="AMS1" s="159"/>
      <c r="AMT1" s="159"/>
      <c r="AMU1" s="159"/>
      <c r="AMV1" s="159"/>
      <c r="AMW1" s="159"/>
      <c r="AMX1" s="159"/>
      <c r="AMY1" s="159"/>
      <c r="AMZ1" s="159"/>
      <c r="ANA1" s="159"/>
      <c r="ANB1" s="159"/>
      <c r="ANC1" s="159"/>
      <c r="AND1" s="159"/>
      <c r="ANE1" s="159"/>
      <c r="ANF1" s="159"/>
      <c r="ANG1" s="159"/>
      <c r="ANH1" s="159"/>
      <c r="ANI1" s="159"/>
      <c r="ANJ1" s="159"/>
      <c r="ANK1" s="159"/>
      <c r="ANL1" s="159"/>
      <c r="ANM1" s="159"/>
      <c r="ANN1" s="159"/>
      <c r="ANO1" s="159"/>
      <c r="ANP1" s="159"/>
      <c r="ANQ1" s="159"/>
      <c r="ANR1" s="159"/>
      <c r="ANS1" s="159"/>
      <c r="ANT1" s="159"/>
      <c r="ANU1" s="159"/>
      <c r="ANV1" s="159"/>
      <c r="ANW1" s="159"/>
      <c r="ANX1" s="159"/>
      <c r="ANY1" s="159"/>
      <c r="ANZ1" s="159"/>
      <c r="AOA1" s="159"/>
      <c r="AOB1" s="159"/>
      <c r="AOC1" s="159"/>
      <c r="AOD1" s="159"/>
      <c r="AOE1" s="159"/>
      <c r="AOF1" s="159"/>
      <c r="AOG1" s="159"/>
      <c r="AOH1" s="159"/>
      <c r="AOI1" s="159"/>
      <c r="AOJ1" s="159"/>
      <c r="AOK1" s="159"/>
      <c r="AOL1" s="159"/>
      <c r="AOM1" s="159"/>
      <c r="AON1" s="159"/>
      <c r="AOO1" s="159"/>
      <c r="AOP1" s="159"/>
      <c r="AOQ1" s="159"/>
      <c r="AOR1" s="159"/>
      <c r="AOS1" s="159"/>
      <c r="AOT1" s="159"/>
      <c r="AOU1" s="159"/>
      <c r="AOV1" s="159"/>
      <c r="AOW1" s="159"/>
      <c r="AOX1" s="159"/>
      <c r="AOY1" s="159"/>
      <c r="AOZ1" s="159"/>
      <c r="APA1" s="159"/>
      <c r="APB1" s="159"/>
      <c r="APC1" s="159"/>
      <c r="APD1" s="159"/>
      <c r="APE1" s="159"/>
      <c r="APF1" s="159"/>
      <c r="APG1" s="159"/>
      <c r="APH1" s="159"/>
      <c r="API1" s="159"/>
      <c r="APJ1" s="159"/>
      <c r="APK1" s="159"/>
      <c r="APL1" s="159"/>
      <c r="APM1" s="159"/>
      <c r="APN1" s="159"/>
      <c r="APO1" s="159"/>
      <c r="APP1" s="159"/>
      <c r="APQ1" s="159"/>
      <c r="APR1" s="159"/>
      <c r="APS1" s="159"/>
      <c r="APT1" s="159"/>
      <c r="APU1" s="159"/>
      <c r="APV1" s="159"/>
      <c r="APW1" s="159"/>
      <c r="APX1" s="159"/>
      <c r="APY1" s="159"/>
      <c r="APZ1" s="159"/>
      <c r="AQA1" s="159"/>
      <c r="AQB1" s="159"/>
      <c r="ARM1" s="159"/>
      <c r="ASA1" s="159"/>
      <c r="ASB1" s="159"/>
      <c r="ASC1" s="159"/>
      <c r="ASD1" s="159"/>
      <c r="ASE1" s="159"/>
      <c r="ASF1" s="159"/>
      <c r="ASG1" s="159"/>
      <c r="ASH1" s="159"/>
      <c r="ASI1" s="159"/>
      <c r="ASJ1" s="159"/>
      <c r="ASK1" s="159"/>
      <c r="ASL1" s="159"/>
      <c r="ASM1" s="159"/>
      <c r="ASN1" s="159"/>
      <c r="ASO1" s="159"/>
      <c r="ASP1" s="159"/>
      <c r="ASQ1" s="159"/>
      <c r="ASR1" s="159"/>
      <c r="ASS1" s="159"/>
      <c r="AST1" s="159"/>
      <c r="ASU1" s="159"/>
      <c r="ASV1" s="159"/>
      <c r="ASW1" s="159"/>
      <c r="ASX1" s="159"/>
      <c r="ASY1" s="159"/>
      <c r="ASZ1" s="159"/>
      <c r="ATA1" s="159"/>
      <c r="ATB1" s="159"/>
      <c r="ATC1" s="159"/>
      <c r="ATD1" s="159"/>
      <c r="ATE1" s="159"/>
      <c r="ATF1" s="159"/>
      <c r="ATG1" s="159"/>
      <c r="ATH1" s="159"/>
      <c r="ATI1" s="159"/>
      <c r="ATJ1" s="159"/>
      <c r="ATK1" s="159"/>
      <c r="ATL1" s="159"/>
      <c r="ATM1" s="159"/>
      <c r="ATN1" s="159"/>
      <c r="ATO1" s="159"/>
      <c r="ATP1" s="159"/>
      <c r="ATQ1" s="159"/>
      <c r="ATR1" s="159"/>
      <c r="ATS1" s="159"/>
      <c r="ATT1" s="159"/>
      <c r="ATU1" s="159"/>
      <c r="ATV1" s="159"/>
      <c r="ATW1" s="159"/>
      <c r="ATX1" s="159"/>
      <c r="ATY1" s="159"/>
      <c r="ATZ1" s="159"/>
      <c r="AUA1" s="159"/>
      <c r="AUB1" s="159"/>
      <c r="AUC1" s="159"/>
      <c r="AUD1" s="159"/>
      <c r="AUE1" s="159"/>
      <c r="AUF1" s="159"/>
      <c r="AUG1" s="159"/>
      <c r="AUH1" s="159"/>
      <c r="AUI1" s="159"/>
      <c r="AUJ1" s="159"/>
      <c r="AUK1" s="159"/>
      <c r="AUL1" s="159"/>
      <c r="AUM1" s="159"/>
      <c r="AUN1" s="159"/>
      <c r="AUO1" s="159"/>
      <c r="AUP1" s="159"/>
      <c r="AUQ1" s="159"/>
      <c r="AUR1" s="159"/>
      <c r="AUS1" s="159"/>
      <c r="AUT1" s="159"/>
      <c r="AUU1" s="159"/>
      <c r="AUV1" s="159"/>
      <c r="AUW1" s="159"/>
      <c r="AUX1" s="159"/>
      <c r="AUY1" s="159"/>
      <c r="AUZ1" s="159"/>
      <c r="AVA1" s="159"/>
      <c r="AVB1" s="159"/>
      <c r="AVC1" s="159"/>
      <c r="AVD1" s="159"/>
      <c r="AVE1" s="159"/>
      <c r="AVF1" s="159"/>
      <c r="AVG1" s="159"/>
      <c r="AVH1" s="159"/>
      <c r="AVI1" s="159"/>
      <c r="AVJ1" s="159"/>
      <c r="AVK1" s="159"/>
      <c r="AVL1" s="159"/>
      <c r="AVM1" s="159"/>
      <c r="AVN1" s="159"/>
      <c r="AVO1" s="159"/>
      <c r="AVP1" s="159"/>
      <c r="AVQ1" s="159"/>
      <c r="AVR1" s="159"/>
      <c r="AVS1" s="159"/>
      <c r="AVT1" s="159"/>
      <c r="AVU1" s="159"/>
      <c r="AVV1" s="159"/>
      <c r="AVW1" s="159"/>
      <c r="AVX1" s="159"/>
      <c r="AVY1" s="159"/>
      <c r="AVZ1" s="159"/>
      <c r="AWA1" s="159"/>
      <c r="AWB1" s="159"/>
      <c r="AWC1" s="159"/>
      <c r="AWD1" s="159"/>
      <c r="AWE1" s="159"/>
      <c r="AWF1" s="159"/>
      <c r="AWG1" s="159"/>
      <c r="AWH1" s="159"/>
      <c r="AWI1" s="159"/>
      <c r="AWJ1" s="159"/>
      <c r="AWK1" s="159"/>
      <c r="AWL1" s="159"/>
      <c r="AWM1" s="159"/>
      <c r="AWN1" s="159"/>
      <c r="AWO1" s="159"/>
      <c r="AWP1" s="159"/>
      <c r="AWQ1" s="159"/>
      <c r="AWR1" s="159"/>
      <c r="AWS1" s="159"/>
      <c r="AWT1" s="159"/>
      <c r="AWU1" s="159"/>
      <c r="AWV1" s="159"/>
      <c r="AWW1" s="159"/>
      <c r="AWX1" s="159"/>
      <c r="AWY1" s="159"/>
      <c r="AWZ1" s="159"/>
      <c r="AXA1" s="159"/>
      <c r="AXB1" s="159"/>
      <c r="AXC1" s="159"/>
      <c r="AXD1" s="159"/>
      <c r="AXE1" s="159"/>
      <c r="AXF1" s="159"/>
      <c r="AXG1" s="159"/>
      <c r="AXH1" s="159"/>
      <c r="AXI1" s="159"/>
      <c r="AXJ1" s="159"/>
      <c r="AXK1" s="159"/>
      <c r="AXL1" s="159"/>
      <c r="AXM1" s="159"/>
      <c r="AXN1" s="159"/>
      <c r="AXO1" s="159"/>
      <c r="AXP1" s="159"/>
      <c r="AXQ1" s="159"/>
      <c r="AXR1" s="159"/>
      <c r="AXS1" s="159"/>
      <c r="AXT1" s="159"/>
      <c r="AXU1" s="159"/>
      <c r="AXV1" s="159"/>
      <c r="AXW1" s="159"/>
      <c r="AXX1" s="159"/>
      <c r="AXY1" s="159"/>
      <c r="AXZ1" s="159"/>
      <c r="AYA1" s="159"/>
      <c r="AYB1" s="159"/>
      <c r="AYC1" s="159"/>
      <c r="AYD1" s="159"/>
      <c r="AYE1" s="159"/>
      <c r="AYF1" s="159"/>
      <c r="AYG1" s="159"/>
      <c r="AYH1" s="159"/>
      <c r="AYI1" s="159"/>
      <c r="AYJ1" s="159"/>
      <c r="AYK1" s="159"/>
      <c r="AYL1" s="159"/>
      <c r="AYM1" s="159"/>
      <c r="AYN1" s="159"/>
      <c r="AYO1" s="159"/>
      <c r="AYP1" s="159"/>
      <c r="AYQ1" s="159"/>
      <c r="AYR1" s="159"/>
      <c r="AYS1" s="159"/>
      <c r="AYT1" s="159"/>
      <c r="AYU1" s="159"/>
      <c r="AYV1" s="159"/>
      <c r="AYW1" s="159"/>
      <c r="AYX1" s="159"/>
      <c r="AYY1" s="159"/>
      <c r="AYZ1" s="159"/>
      <c r="AZA1" s="159"/>
      <c r="AZB1" s="159"/>
      <c r="AZC1" s="159"/>
      <c r="AZD1" s="159"/>
      <c r="AZE1" s="159"/>
      <c r="AZF1" s="159"/>
      <c r="AZG1" s="159"/>
      <c r="AZH1" s="159"/>
      <c r="AZI1" s="159"/>
      <c r="AZJ1" s="159"/>
      <c r="AZK1" s="159"/>
      <c r="AZL1" s="159"/>
      <c r="AZM1" s="159"/>
      <c r="AZN1" s="159"/>
      <c r="AZO1" s="159"/>
      <c r="AZP1" s="159"/>
      <c r="AZQ1" s="159"/>
      <c r="AZR1" s="159"/>
      <c r="AZS1" s="159"/>
      <c r="AZT1" s="159"/>
      <c r="AZU1" s="159"/>
      <c r="AZV1" s="159"/>
      <c r="AZW1" s="159"/>
      <c r="AZX1" s="159"/>
      <c r="BBI1" s="159"/>
      <c r="BBW1" s="159"/>
      <c r="BBX1" s="159"/>
      <c r="BBY1" s="159"/>
      <c r="BBZ1" s="159"/>
      <c r="BCA1" s="159"/>
      <c r="BCB1" s="159"/>
      <c r="BCC1" s="159"/>
      <c r="BCD1" s="159"/>
      <c r="BCE1" s="159"/>
      <c r="BCF1" s="159"/>
      <c r="BCG1" s="159"/>
      <c r="BCH1" s="159"/>
      <c r="BCI1" s="159"/>
      <c r="BCJ1" s="159"/>
      <c r="BCK1" s="159"/>
      <c r="BCL1" s="159"/>
      <c r="BCM1" s="159"/>
      <c r="BCN1" s="159"/>
      <c r="BCO1" s="159"/>
      <c r="BCP1" s="159"/>
      <c r="BCQ1" s="159"/>
      <c r="BCR1" s="159"/>
      <c r="BCS1" s="159"/>
      <c r="BCT1" s="159"/>
      <c r="BCU1" s="159"/>
      <c r="BCV1" s="159"/>
      <c r="BCW1" s="159"/>
      <c r="BCX1" s="159"/>
      <c r="BCY1" s="159"/>
      <c r="BCZ1" s="159"/>
      <c r="BDA1" s="159"/>
      <c r="BDB1" s="159"/>
      <c r="BDC1" s="159"/>
      <c r="BDD1" s="159"/>
      <c r="BDE1" s="159"/>
      <c r="BDF1" s="159"/>
      <c r="BDG1" s="159"/>
      <c r="BDH1" s="159"/>
      <c r="BDI1" s="159"/>
      <c r="BDJ1" s="159"/>
      <c r="BDK1" s="159"/>
      <c r="BDL1" s="159"/>
      <c r="BDM1" s="159"/>
      <c r="BDN1" s="159"/>
      <c r="BDO1" s="159"/>
      <c r="BDP1" s="159"/>
      <c r="BDQ1" s="159"/>
      <c r="BDR1" s="159"/>
      <c r="BDS1" s="159"/>
      <c r="BDT1" s="159"/>
      <c r="BDU1" s="159"/>
      <c r="BDV1" s="159"/>
      <c r="BDW1" s="159"/>
      <c r="BDX1" s="159"/>
      <c r="BDY1" s="159"/>
      <c r="BDZ1" s="159"/>
      <c r="BEA1" s="159"/>
      <c r="BEB1" s="159"/>
      <c r="BEC1" s="159"/>
      <c r="BED1" s="159"/>
      <c r="BEE1" s="159"/>
      <c r="BEF1" s="159"/>
      <c r="BEG1" s="159"/>
      <c r="BEH1" s="159"/>
      <c r="BEI1" s="159"/>
      <c r="BEJ1" s="159"/>
      <c r="BEK1" s="159"/>
      <c r="BEL1" s="159"/>
      <c r="BEM1" s="159"/>
      <c r="BEN1" s="159"/>
      <c r="BEO1" s="159"/>
      <c r="BEP1" s="159"/>
      <c r="BEQ1" s="159"/>
      <c r="BER1" s="159"/>
      <c r="BES1" s="159"/>
      <c r="BET1" s="159"/>
      <c r="BEU1" s="159"/>
      <c r="BEV1" s="159"/>
      <c r="BEW1" s="159"/>
      <c r="BEX1" s="159"/>
      <c r="BEY1" s="159"/>
      <c r="BEZ1" s="159"/>
      <c r="BFA1" s="159"/>
      <c r="BFB1" s="159"/>
      <c r="BFC1" s="159"/>
      <c r="BFD1" s="159"/>
      <c r="BFE1" s="159"/>
      <c r="BFF1" s="159"/>
      <c r="BFG1" s="159"/>
      <c r="BFH1" s="159"/>
      <c r="BFI1" s="159"/>
      <c r="BFJ1" s="159"/>
      <c r="BFK1" s="159"/>
      <c r="BFL1" s="159"/>
      <c r="BFM1" s="159"/>
      <c r="BFN1" s="159"/>
      <c r="BFO1" s="159"/>
      <c r="BFP1" s="159"/>
      <c r="BFQ1" s="159"/>
      <c r="BFR1" s="159"/>
      <c r="BFS1" s="159"/>
      <c r="BFT1" s="159"/>
      <c r="BFU1" s="159"/>
      <c r="BFV1" s="159"/>
      <c r="BFW1" s="159"/>
      <c r="BFX1" s="159"/>
      <c r="BFY1" s="159"/>
      <c r="BFZ1" s="159"/>
      <c r="BGA1" s="159"/>
      <c r="BGB1" s="159"/>
      <c r="BGC1" s="159"/>
      <c r="BGD1" s="159"/>
      <c r="BGE1" s="159"/>
      <c r="BGF1" s="159"/>
      <c r="BGG1" s="159"/>
      <c r="BGH1" s="159"/>
      <c r="BGI1" s="159"/>
      <c r="BGJ1" s="159"/>
      <c r="BGK1" s="159"/>
      <c r="BGL1" s="159"/>
      <c r="BGM1" s="159"/>
      <c r="BGN1" s="159"/>
      <c r="BGO1" s="159"/>
      <c r="BGP1" s="159"/>
      <c r="BGQ1" s="159"/>
      <c r="BGR1" s="159"/>
      <c r="BGS1" s="159"/>
      <c r="BGT1" s="159"/>
      <c r="BGU1" s="159"/>
      <c r="BGV1" s="159"/>
      <c r="BGW1" s="159"/>
      <c r="BGX1" s="159"/>
      <c r="BGY1" s="159"/>
      <c r="BGZ1" s="159"/>
      <c r="BHA1" s="159"/>
      <c r="BHB1" s="159"/>
      <c r="BHC1" s="159"/>
      <c r="BHD1" s="159"/>
      <c r="BHE1" s="159"/>
      <c r="BHF1" s="159"/>
      <c r="BHG1" s="159"/>
      <c r="BHH1" s="159"/>
      <c r="BHI1" s="159"/>
      <c r="BHJ1" s="159"/>
      <c r="BHK1" s="159"/>
      <c r="BHL1" s="159"/>
      <c r="BHM1" s="159"/>
      <c r="BHN1" s="159"/>
      <c r="BHO1" s="159"/>
      <c r="BHP1" s="159"/>
      <c r="BHQ1" s="159"/>
      <c r="BHR1" s="159"/>
      <c r="BHS1" s="159"/>
      <c r="BHT1" s="159"/>
      <c r="BHU1" s="159"/>
      <c r="BHV1" s="159"/>
      <c r="BHW1" s="159"/>
      <c r="BHX1" s="159"/>
      <c r="BHY1" s="159"/>
      <c r="BHZ1" s="159"/>
      <c r="BIA1" s="159"/>
      <c r="BIB1" s="159"/>
      <c r="BIC1" s="159"/>
      <c r="BID1" s="159"/>
      <c r="BIE1" s="159"/>
      <c r="BIF1" s="159"/>
      <c r="BIG1" s="159"/>
      <c r="BIH1" s="159"/>
      <c r="BII1" s="159"/>
      <c r="BIJ1" s="159"/>
      <c r="BIK1" s="159"/>
      <c r="BIL1" s="159"/>
      <c r="BIM1" s="159"/>
      <c r="BIN1" s="159"/>
      <c r="BIO1" s="159"/>
      <c r="BIP1" s="159"/>
      <c r="BIQ1" s="159"/>
      <c r="BIR1" s="159"/>
      <c r="BIS1" s="159"/>
      <c r="BIT1" s="159"/>
      <c r="BIU1" s="159"/>
      <c r="BIV1" s="159"/>
      <c r="BIW1" s="159"/>
      <c r="BIX1" s="159"/>
      <c r="BIY1" s="159"/>
      <c r="BIZ1" s="159"/>
      <c r="BJA1" s="159"/>
      <c r="BJB1" s="159"/>
      <c r="BJC1" s="159"/>
      <c r="BJD1" s="159"/>
      <c r="BJE1" s="159"/>
      <c r="BJF1" s="159"/>
      <c r="BJG1" s="159"/>
      <c r="BJH1" s="159"/>
      <c r="BJI1" s="159"/>
      <c r="BJJ1" s="159"/>
      <c r="BJK1" s="159"/>
      <c r="BJL1" s="159"/>
      <c r="BJM1" s="159"/>
      <c r="BJN1" s="159"/>
      <c r="BJO1" s="159"/>
      <c r="BJP1" s="159"/>
      <c r="BJQ1" s="159"/>
      <c r="BJR1" s="159"/>
      <c r="BJS1" s="159"/>
      <c r="BJT1" s="159"/>
      <c r="BLE1" s="159"/>
      <c r="BLS1" s="159"/>
      <c r="BLT1" s="159"/>
      <c r="BLU1" s="159"/>
      <c r="BLV1" s="159"/>
      <c r="BLW1" s="159"/>
      <c r="BLX1" s="159"/>
      <c r="BLY1" s="159"/>
      <c r="BLZ1" s="159"/>
      <c r="BMA1" s="159"/>
      <c r="BMB1" s="159"/>
      <c r="BMC1" s="159"/>
      <c r="BMD1" s="159"/>
      <c r="BME1" s="159"/>
      <c r="BMF1" s="159"/>
      <c r="BMG1" s="159"/>
      <c r="BMH1" s="159"/>
      <c r="BMI1" s="159"/>
      <c r="BMJ1" s="159"/>
      <c r="BMK1" s="159"/>
      <c r="BML1" s="159"/>
      <c r="BMM1" s="159"/>
      <c r="BMN1" s="159"/>
      <c r="BMO1" s="159"/>
      <c r="BMP1" s="159"/>
      <c r="BMQ1" s="159"/>
      <c r="BMR1" s="159"/>
      <c r="BMS1" s="159"/>
      <c r="BMT1" s="159"/>
      <c r="BMU1" s="159"/>
      <c r="BMV1" s="159"/>
      <c r="BMW1" s="159"/>
      <c r="BMX1" s="159"/>
      <c r="BMY1" s="159"/>
      <c r="BMZ1" s="159"/>
      <c r="BNA1" s="159"/>
      <c r="BNB1" s="159"/>
      <c r="BNC1" s="159"/>
      <c r="BND1" s="159"/>
      <c r="BNE1" s="159"/>
      <c r="BNF1" s="159"/>
      <c r="BNG1" s="159"/>
      <c r="BNH1" s="159"/>
      <c r="BNI1" s="159"/>
      <c r="BNJ1" s="159"/>
      <c r="BNK1" s="159"/>
      <c r="BNL1" s="159"/>
      <c r="BNM1" s="159"/>
      <c r="BNN1" s="159"/>
      <c r="BNO1" s="159"/>
      <c r="BNP1" s="159"/>
      <c r="BNQ1" s="159"/>
      <c r="BNR1" s="159"/>
      <c r="BNS1" s="159"/>
      <c r="BNT1" s="159"/>
      <c r="BNU1" s="159"/>
      <c r="BNV1" s="159"/>
      <c r="BNW1" s="159"/>
      <c r="BNX1" s="159"/>
      <c r="BNY1" s="159"/>
      <c r="BNZ1" s="159"/>
      <c r="BOA1" s="159"/>
      <c r="BOB1" s="159"/>
      <c r="BOC1" s="159"/>
      <c r="BOD1" s="159"/>
      <c r="BOE1" s="159"/>
      <c r="BOF1" s="159"/>
      <c r="BOG1" s="159"/>
      <c r="BOH1" s="159"/>
      <c r="BOI1" s="159"/>
      <c r="BOJ1" s="159"/>
      <c r="BOK1" s="159"/>
      <c r="BOL1" s="159"/>
      <c r="BOM1" s="159"/>
      <c r="BON1" s="159"/>
      <c r="BOO1" s="159"/>
      <c r="BOP1" s="159"/>
      <c r="BOQ1" s="159"/>
      <c r="BOR1" s="159"/>
      <c r="BOS1" s="159"/>
      <c r="BOT1" s="159"/>
      <c r="BOU1" s="159"/>
      <c r="BOV1" s="159"/>
      <c r="BOW1" s="159"/>
      <c r="BOX1" s="159"/>
      <c r="BOY1" s="159"/>
      <c r="BOZ1" s="159"/>
      <c r="BPA1" s="159"/>
      <c r="BPB1" s="159"/>
      <c r="BPC1" s="159"/>
      <c r="BPD1" s="159"/>
      <c r="BPE1" s="159"/>
      <c r="BPF1" s="159"/>
      <c r="BPG1" s="159"/>
      <c r="BPH1" s="159"/>
      <c r="BPI1" s="159"/>
      <c r="BPJ1" s="159"/>
      <c r="BPK1" s="159"/>
      <c r="BPL1" s="159"/>
      <c r="BPM1" s="159"/>
      <c r="BPN1" s="159"/>
      <c r="BPO1" s="159"/>
      <c r="BPP1" s="159"/>
      <c r="BPQ1" s="159"/>
      <c r="BPR1" s="159"/>
      <c r="BPS1" s="159"/>
      <c r="BPT1" s="159"/>
      <c r="BPU1" s="159"/>
      <c r="BPV1" s="159"/>
      <c r="BPW1" s="159"/>
      <c r="BPX1" s="159"/>
      <c r="BPY1" s="159"/>
      <c r="BPZ1" s="159"/>
      <c r="BQA1" s="159"/>
      <c r="BQB1" s="159"/>
      <c r="BQC1" s="159"/>
      <c r="BQD1" s="159"/>
      <c r="BQE1" s="159"/>
      <c r="BQF1" s="159"/>
      <c r="BQG1" s="159"/>
      <c r="BQH1" s="159"/>
      <c r="BQI1" s="159"/>
      <c r="BQJ1" s="159"/>
      <c r="BQK1" s="159"/>
      <c r="BQL1" s="159"/>
      <c r="BQM1" s="159"/>
      <c r="BQN1" s="159"/>
      <c r="BQO1" s="159"/>
      <c r="BQP1" s="159"/>
      <c r="BQQ1" s="159"/>
      <c r="BQR1" s="159"/>
      <c r="BQS1" s="159"/>
      <c r="BQT1" s="159"/>
      <c r="BQU1" s="159"/>
      <c r="BQV1" s="159"/>
      <c r="BQW1" s="159"/>
      <c r="BQX1" s="159"/>
      <c r="BQY1" s="159"/>
      <c r="BQZ1" s="159"/>
      <c r="BRA1" s="159"/>
      <c r="BRB1" s="159"/>
      <c r="BRC1" s="159"/>
      <c r="BRD1" s="159"/>
      <c r="BRE1" s="159"/>
      <c r="BRF1" s="159"/>
      <c r="BRG1" s="159"/>
      <c r="BRH1" s="159"/>
      <c r="BRI1" s="159"/>
      <c r="BRJ1" s="159"/>
      <c r="BRK1" s="159"/>
      <c r="BRL1" s="159"/>
      <c r="BRM1" s="159"/>
      <c r="BRN1" s="159"/>
      <c r="BRO1" s="159"/>
      <c r="BRP1" s="159"/>
      <c r="BRQ1" s="159"/>
      <c r="BRR1" s="159"/>
      <c r="BRS1" s="159"/>
      <c r="BRT1" s="159"/>
      <c r="BRU1" s="159"/>
      <c r="BRV1" s="159"/>
      <c r="BRW1" s="159"/>
      <c r="BRX1" s="159"/>
      <c r="BRY1" s="159"/>
      <c r="BRZ1" s="159"/>
      <c r="BSA1" s="159"/>
      <c r="BSB1" s="159"/>
      <c r="BSC1" s="159"/>
      <c r="BSD1" s="159"/>
      <c r="BSE1" s="159"/>
      <c r="BSF1" s="159"/>
      <c r="BSG1" s="159"/>
      <c r="BSH1" s="159"/>
      <c r="BSI1" s="159"/>
      <c r="BSJ1" s="159"/>
      <c r="BSK1" s="159"/>
      <c r="BSL1" s="159"/>
      <c r="BSM1" s="159"/>
      <c r="BSN1" s="159"/>
      <c r="BSO1" s="159"/>
      <c r="BSP1" s="159"/>
      <c r="BSQ1" s="159"/>
      <c r="BSR1" s="159"/>
      <c r="BSS1" s="159"/>
      <c r="BST1" s="159"/>
      <c r="BSU1" s="159"/>
      <c r="BSV1" s="159"/>
      <c r="BSW1" s="159"/>
      <c r="BSX1" s="159"/>
      <c r="BSY1" s="159"/>
      <c r="BSZ1" s="159"/>
      <c r="BTA1" s="159"/>
      <c r="BTB1" s="159"/>
      <c r="BTC1" s="159"/>
      <c r="BTD1" s="159"/>
      <c r="BTE1" s="159"/>
      <c r="BTF1" s="159"/>
      <c r="BTG1" s="159"/>
      <c r="BTH1" s="159"/>
      <c r="BTI1" s="159"/>
      <c r="BTJ1" s="159"/>
      <c r="BTK1" s="159"/>
      <c r="BTL1" s="159"/>
      <c r="BTM1" s="159"/>
      <c r="BTN1" s="159"/>
      <c r="BTO1" s="159"/>
      <c r="BTP1" s="159"/>
      <c r="BVA1" s="159"/>
      <c r="BVO1" s="159"/>
      <c r="BVP1" s="159"/>
      <c r="BVQ1" s="159"/>
      <c r="BVR1" s="159"/>
      <c r="BVS1" s="159"/>
      <c r="BVT1" s="159"/>
      <c r="BVU1" s="159"/>
      <c r="BVV1" s="159"/>
      <c r="BVW1" s="159"/>
      <c r="BVX1" s="159"/>
      <c r="BVY1" s="159"/>
      <c r="BVZ1" s="159"/>
      <c r="BWA1" s="159"/>
      <c r="BWB1" s="159"/>
      <c r="BWC1" s="159"/>
      <c r="BWD1" s="159"/>
      <c r="BWE1" s="159"/>
      <c r="BWF1" s="159"/>
      <c r="BWG1" s="159"/>
      <c r="BWH1" s="159"/>
      <c r="BWI1" s="159"/>
      <c r="BWJ1" s="159"/>
      <c r="BWK1" s="159"/>
      <c r="BWL1" s="159"/>
      <c r="BWM1" s="159"/>
      <c r="BWN1" s="159"/>
      <c r="BWO1" s="159"/>
      <c r="BWP1" s="159"/>
      <c r="BWQ1" s="159"/>
      <c r="BWR1" s="159"/>
      <c r="BWS1" s="159"/>
      <c r="BWT1" s="159"/>
      <c r="BWU1" s="159"/>
      <c r="BWV1" s="159"/>
      <c r="BWW1" s="159"/>
      <c r="BWX1" s="159"/>
      <c r="BWY1" s="159"/>
      <c r="BWZ1" s="159"/>
      <c r="BXA1" s="159"/>
      <c r="BXB1" s="159"/>
      <c r="BXC1" s="159"/>
      <c r="BXD1" s="159"/>
      <c r="BXE1" s="159"/>
      <c r="BXF1" s="159"/>
      <c r="BXG1" s="159"/>
      <c r="BXH1" s="159"/>
      <c r="BXI1" s="159"/>
      <c r="BXJ1" s="159"/>
      <c r="BXK1" s="159"/>
      <c r="BXL1" s="159"/>
      <c r="BXM1" s="159"/>
      <c r="BXN1" s="159"/>
      <c r="BXO1" s="159"/>
      <c r="BXP1" s="159"/>
      <c r="BXQ1" s="159"/>
      <c r="BXR1" s="159"/>
      <c r="BXS1" s="159"/>
      <c r="BXT1" s="159"/>
      <c r="BXU1" s="159"/>
      <c r="BXV1" s="159"/>
      <c r="BXW1" s="159"/>
      <c r="BXX1" s="159"/>
      <c r="BXY1" s="159"/>
      <c r="BXZ1" s="159"/>
      <c r="BYA1" s="159"/>
      <c r="BYB1" s="159"/>
      <c r="BYC1" s="159"/>
      <c r="BYD1" s="159"/>
      <c r="BYE1" s="159"/>
      <c r="BYF1" s="159"/>
      <c r="BYG1" s="159"/>
      <c r="BYH1" s="159"/>
      <c r="BYI1" s="159"/>
      <c r="BYJ1" s="159"/>
      <c r="BYK1" s="159"/>
      <c r="BYL1" s="159"/>
      <c r="BYM1" s="159"/>
      <c r="BYN1" s="159"/>
      <c r="BYO1" s="159"/>
      <c r="BYP1" s="159"/>
      <c r="BYQ1" s="159"/>
      <c r="BYR1" s="159"/>
      <c r="BYS1" s="159"/>
      <c r="BYT1" s="159"/>
      <c r="BYU1" s="159"/>
      <c r="BYV1" s="159"/>
      <c r="BYW1" s="159"/>
      <c r="BYX1" s="159"/>
      <c r="BYY1" s="159"/>
      <c r="BYZ1" s="159"/>
      <c r="BZA1" s="159"/>
      <c r="BZB1" s="159"/>
      <c r="BZC1" s="159"/>
      <c r="BZD1" s="159"/>
      <c r="BZE1" s="159"/>
      <c r="BZF1" s="159"/>
      <c r="BZG1" s="159"/>
      <c r="BZH1" s="159"/>
      <c r="BZI1" s="159"/>
      <c r="BZJ1" s="159"/>
      <c r="BZK1" s="159"/>
      <c r="BZL1" s="159"/>
      <c r="BZM1" s="159"/>
      <c r="BZN1" s="159"/>
      <c r="BZO1" s="159"/>
      <c r="BZP1" s="159"/>
      <c r="BZQ1" s="159"/>
      <c r="BZR1" s="159"/>
      <c r="BZS1" s="159"/>
      <c r="BZT1" s="159"/>
      <c r="BZU1" s="159"/>
      <c r="BZV1" s="159"/>
      <c r="BZW1" s="159"/>
      <c r="BZX1" s="159"/>
      <c r="BZY1" s="159"/>
      <c r="BZZ1" s="159"/>
      <c r="CAA1" s="159"/>
      <c r="CAB1" s="159"/>
      <c r="CAC1" s="159"/>
      <c r="CAD1" s="159"/>
      <c r="CAE1" s="159"/>
      <c r="CAF1" s="159"/>
      <c r="CAG1" s="159"/>
      <c r="CAH1" s="159"/>
      <c r="CAI1" s="159"/>
      <c r="CAJ1" s="159"/>
      <c r="CAK1" s="159"/>
      <c r="CAL1" s="159"/>
      <c r="CAM1" s="159"/>
      <c r="CAN1" s="159"/>
      <c r="CAO1" s="159"/>
      <c r="CAP1" s="159"/>
      <c r="CAQ1" s="159"/>
      <c r="CAR1" s="159"/>
      <c r="CAS1" s="159"/>
      <c r="CAT1" s="159"/>
      <c r="CAU1" s="159"/>
      <c r="CAV1" s="159"/>
      <c r="CAW1" s="159"/>
      <c r="CAX1" s="159"/>
      <c r="CAY1" s="159"/>
      <c r="CAZ1" s="159"/>
      <c r="CBA1" s="159"/>
      <c r="CBB1" s="159"/>
      <c r="CBC1" s="159"/>
      <c r="CBD1" s="159"/>
      <c r="CBE1" s="159"/>
      <c r="CBF1" s="159"/>
      <c r="CBG1" s="159"/>
      <c r="CBH1" s="159"/>
      <c r="CBI1" s="159"/>
      <c r="CBJ1" s="159"/>
      <c r="CBK1" s="159"/>
      <c r="CBL1" s="159"/>
      <c r="CBM1" s="159"/>
      <c r="CBN1" s="159"/>
      <c r="CBO1" s="159"/>
      <c r="CBP1" s="159"/>
      <c r="CBQ1" s="159"/>
      <c r="CBR1" s="159"/>
      <c r="CBS1" s="159"/>
      <c r="CBT1" s="159"/>
      <c r="CBU1" s="159"/>
      <c r="CBV1" s="159"/>
      <c r="CBW1" s="159"/>
      <c r="CBX1" s="159"/>
      <c r="CBY1" s="159"/>
      <c r="CBZ1" s="159"/>
      <c r="CCA1" s="159"/>
      <c r="CCB1" s="159"/>
      <c r="CCC1" s="159"/>
      <c r="CCD1" s="159"/>
      <c r="CCE1" s="159"/>
      <c r="CCF1" s="159"/>
      <c r="CCG1" s="159"/>
      <c r="CCH1" s="159"/>
      <c r="CCI1" s="159"/>
      <c r="CCJ1" s="159"/>
      <c r="CCK1" s="159"/>
      <c r="CCL1" s="159"/>
      <c r="CCM1" s="159"/>
      <c r="CCN1" s="159"/>
      <c r="CCO1" s="159"/>
      <c r="CCP1" s="159"/>
      <c r="CCQ1" s="159"/>
      <c r="CCR1" s="159"/>
      <c r="CCS1" s="159"/>
      <c r="CCT1" s="159"/>
      <c r="CCU1" s="159"/>
      <c r="CCV1" s="159"/>
      <c r="CCW1" s="159"/>
      <c r="CCX1" s="159"/>
      <c r="CCY1" s="159"/>
      <c r="CCZ1" s="159"/>
      <c r="CDA1" s="159"/>
      <c r="CDB1" s="159"/>
      <c r="CDC1" s="159"/>
      <c r="CDD1" s="159"/>
      <c r="CDE1" s="159"/>
      <c r="CDF1" s="159"/>
      <c r="CDG1" s="159"/>
      <c r="CDH1" s="159"/>
      <c r="CDI1" s="159"/>
      <c r="CDJ1" s="159"/>
      <c r="CDK1" s="159"/>
      <c r="CDL1" s="159"/>
      <c r="CEW1" s="159"/>
      <c r="CFK1" s="159"/>
      <c r="CFL1" s="159"/>
      <c r="CFM1" s="159"/>
      <c r="CFN1" s="159"/>
      <c r="CFO1" s="159"/>
      <c r="CFP1" s="159"/>
      <c r="CFQ1" s="159"/>
      <c r="CFR1" s="159"/>
      <c r="CFS1" s="159"/>
      <c r="CFT1" s="159"/>
      <c r="CFU1" s="159"/>
      <c r="CFV1" s="159"/>
      <c r="CFW1" s="159"/>
      <c r="CFX1" s="159"/>
      <c r="CFY1" s="159"/>
      <c r="CFZ1" s="159"/>
      <c r="CGA1" s="159"/>
      <c r="CGB1" s="159"/>
      <c r="CGC1" s="159"/>
      <c r="CGD1" s="159"/>
      <c r="CGE1" s="159"/>
      <c r="CGF1" s="159"/>
      <c r="CGG1" s="159"/>
      <c r="CGH1" s="159"/>
      <c r="CGI1" s="159"/>
      <c r="CGJ1" s="159"/>
      <c r="CGK1" s="159"/>
      <c r="CGL1" s="159"/>
      <c r="CGM1" s="159"/>
      <c r="CGN1" s="159"/>
      <c r="CGO1" s="159"/>
      <c r="CGP1" s="159"/>
      <c r="CGQ1" s="159"/>
      <c r="CGR1" s="159"/>
      <c r="CGS1" s="159"/>
      <c r="CGT1" s="159"/>
      <c r="CGU1" s="159"/>
      <c r="CGV1" s="159"/>
      <c r="CGW1" s="159"/>
      <c r="CGX1" s="159"/>
      <c r="CGY1" s="159"/>
      <c r="CGZ1" s="159"/>
      <c r="CHA1" s="159"/>
      <c r="CHB1" s="159"/>
      <c r="CHC1" s="159"/>
      <c r="CHD1" s="159"/>
      <c r="CHE1" s="159"/>
      <c r="CHF1" s="159"/>
      <c r="CHG1" s="159"/>
      <c r="CHH1" s="159"/>
      <c r="CHI1" s="159"/>
      <c r="CHJ1" s="159"/>
      <c r="CHK1" s="159"/>
      <c r="CHL1" s="159"/>
      <c r="CHM1" s="159"/>
      <c r="CHN1" s="159"/>
      <c r="CHO1" s="159"/>
      <c r="CHP1" s="159"/>
      <c r="CHQ1" s="159"/>
      <c r="CHR1" s="159"/>
      <c r="CHS1" s="159"/>
      <c r="CHT1" s="159"/>
      <c r="CHU1" s="159"/>
      <c r="CHV1" s="159"/>
      <c r="CHW1" s="159"/>
      <c r="CHX1" s="159"/>
      <c r="CHY1" s="159"/>
      <c r="CHZ1" s="159"/>
      <c r="CIA1" s="159"/>
      <c r="CIB1" s="159"/>
      <c r="CIC1" s="159"/>
      <c r="CID1" s="159"/>
      <c r="CIE1" s="159"/>
      <c r="CIF1" s="159"/>
      <c r="CIG1" s="159"/>
      <c r="CIH1" s="159"/>
      <c r="CII1" s="159"/>
      <c r="CIJ1" s="159"/>
      <c r="CIK1" s="159"/>
      <c r="CIL1" s="159"/>
      <c r="CIM1" s="159"/>
      <c r="CIN1" s="159"/>
      <c r="CIO1" s="159"/>
      <c r="CIP1" s="159"/>
      <c r="CIQ1" s="159"/>
      <c r="CIR1" s="159"/>
      <c r="CIS1" s="159"/>
      <c r="CIT1" s="159"/>
      <c r="CIU1" s="159"/>
      <c r="CIV1" s="159"/>
      <c r="CIW1" s="159"/>
      <c r="CIX1" s="159"/>
      <c r="CIY1" s="159"/>
      <c r="CIZ1" s="159"/>
      <c r="CJA1" s="159"/>
      <c r="CJB1" s="159"/>
      <c r="CJC1" s="159"/>
      <c r="CJD1" s="159"/>
      <c r="CJE1" s="159"/>
      <c r="CJF1" s="159"/>
      <c r="CJG1" s="159"/>
      <c r="CJH1" s="159"/>
      <c r="CJI1" s="159"/>
      <c r="CJJ1" s="159"/>
      <c r="CJK1" s="159"/>
      <c r="CJL1" s="159"/>
      <c r="CJM1" s="159"/>
      <c r="CJN1" s="159"/>
      <c r="CJO1" s="159"/>
      <c r="CJP1" s="159"/>
      <c r="CJQ1" s="159"/>
      <c r="CJR1" s="159"/>
      <c r="CJS1" s="159"/>
      <c r="CJT1" s="159"/>
      <c r="CJU1" s="159"/>
      <c r="CJV1" s="159"/>
      <c r="CJW1" s="159"/>
      <c r="CJX1" s="159"/>
      <c r="CJY1" s="159"/>
      <c r="CJZ1" s="159"/>
      <c r="CKA1" s="159"/>
      <c r="CKB1" s="159"/>
      <c r="CKC1" s="159"/>
      <c r="CKD1" s="159"/>
      <c r="CKE1" s="159"/>
      <c r="CKF1" s="159"/>
      <c r="CKG1" s="159"/>
      <c r="CKH1" s="159"/>
      <c r="CKI1" s="159"/>
      <c r="CKJ1" s="159"/>
      <c r="CKK1" s="159"/>
      <c r="CKL1" s="159"/>
      <c r="CKM1" s="159"/>
      <c r="CKN1" s="159"/>
      <c r="CKO1" s="159"/>
      <c r="CKP1" s="159"/>
      <c r="CKQ1" s="159"/>
      <c r="CKR1" s="159"/>
      <c r="CKS1" s="159"/>
      <c r="CKT1" s="159"/>
      <c r="CKU1" s="159"/>
      <c r="CKV1" s="159"/>
      <c r="CKW1" s="159"/>
      <c r="CKX1" s="159"/>
      <c r="CKY1" s="159"/>
      <c r="CKZ1" s="159"/>
      <c r="CLA1" s="159"/>
      <c r="CLB1" s="159"/>
      <c r="CLC1" s="159"/>
      <c r="CLD1" s="159"/>
      <c r="CLE1" s="159"/>
      <c r="CLF1" s="159"/>
      <c r="CLG1" s="159"/>
      <c r="CLH1" s="159"/>
      <c r="CLI1" s="159"/>
      <c r="CLJ1" s="159"/>
      <c r="CLK1" s="159"/>
      <c r="CLL1" s="159"/>
      <c r="CLM1" s="159"/>
      <c r="CLN1" s="159"/>
      <c r="CLO1" s="159"/>
      <c r="CLP1" s="159"/>
      <c r="CLQ1" s="159"/>
      <c r="CLR1" s="159"/>
      <c r="CLS1" s="159"/>
      <c r="CLT1" s="159"/>
      <c r="CLU1" s="159"/>
      <c r="CLV1" s="159"/>
      <c r="CLW1" s="159"/>
      <c r="CLX1" s="159"/>
      <c r="CLY1" s="159"/>
      <c r="CLZ1" s="159"/>
      <c r="CMA1" s="159"/>
      <c r="CMB1" s="159"/>
      <c r="CMC1" s="159"/>
      <c r="CMD1" s="159"/>
      <c r="CME1" s="159"/>
      <c r="CMF1" s="159"/>
      <c r="CMG1" s="159"/>
      <c r="CMH1" s="159"/>
      <c r="CMI1" s="159"/>
      <c r="CMJ1" s="159"/>
      <c r="CMK1" s="159"/>
      <c r="CML1" s="159"/>
      <c r="CMM1" s="159"/>
      <c r="CMN1" s="159"/>
      <c r="CMO1" s="159"/>
      <c r="CMP1" s="159"/>
      <c r="CMQ1" s="159"/>
      <c r="CMR1" s="159"/>
      <c r="CMS1" s="159"/>
      <c r="CMT1" s="159"/>
      <c r="CMU1" s="159"/>
      <c r="CMV1" s="159"/>
      <c r="CMW1" s="159"/>
      <c r="CMX1" s="159"/>
      <c r="CMY1" s="159"/>
      <c r="CMZ1" s="159"/>
      <c r="CNA1" s="159"/>
      <c r="CNB1" s="159"/>
      <c r="CNC1" s="159"/>
      <c r="CND1" s="159"/>
      <c r="CNE1" s="159"/>
      <c r="CNF1" s="159"/>
      <c r="CNG1" s="159"/>
      <c r="CNH1" s="159"/>
      <c r="COS1" s="159"/>
      <c r="CPG1" s="159"/>
      <c r="CPH1" s="159"/>
      <c r="CPI1" s="159"/>
      <c r="CPJ1" s="159"/>
      <c r="CPK1" s="159"/>
      <c r="CPL1" s="159"/>
      <c r="CPM1" s="159"/>
      <c r="CPN1" s="159"/>
      <c r="CPO1" s="159"/>
      <c r="CPP1" s="159"/>
      <c r="CPQ1" s="159"/>
      <c r="CPR1" s="159"/>
      <c r="CPS1" s="159"/>
      <c r="CPT1" s="159"/>
      <c r="CPU1" s="159"/>
      <c r="CPV1" s="159"/>
      <c r="CPW1" s="159"/>
      <c r="CPX1" s="159"/>
      <c r="CPY1" s="159"/>
      <c r="CPZ1" s="159"/>
      <c r="CQA1" s="159"/>
      <c r="CQB1" s="159"/>
      <c r="CQC1" s="159"/>
      <c r="CQD1" s="159"/>
      <c r="CQE1" s="159"/>
      <c r="CQF1" s="159"/>
      <c r="CQG1" s="159"/>
      <c r="CQH1" s="159"/>
      <c r="CQI1" s="159"/>
      <c r="CQJ1" s="159"/>
      <c r="CQK1" s="159"/>
      <c r="CQL1" s="159"/>
      <c r="CQM1" s="159"/>
      <c r="CQN1" s="159"/>
      <c r="CQO1" s="159"/>
      <c r="CQP1" s="159"/>
      <c r="CQQ1" s="159"/>
      <c r="CQR1" s="159"/>
      <c r="CQS1" s="159"/>
      <c r="CQT1" s="159"/>
      <c r="CQU1" s="159"/>
      <c r="CQV1" s="159"/>
      <c r="CQW1" s="159"/>
      <c r="CQX1" s="159"/>
      <c r="CQY1" s="159"/>
      <c r="CQZ1" s="159"/>
      <c r="CRA1" s="159"/>
      <c r="CRB1" s="159"/>
      <c r="CRC1" s="159"/>
      <c r="CRD1" s="159"/>
      <c r="CRE1" s="159"/>
      <c r="CRF1" s="159"/>
      <c r="CRG1" s="159"/>
      <c r="CRH1" s="159"/>
      <c r="CRI1" s="159"/>
      <c r="CRJ1" s="159"/>
      <c r="CRK1" s="159"/>
      <c r="CRL1" s="159"/>
      <c r="CRM1" s="159"/>
      <c r="CRN1" s="159"/>
      <c r="CRO1" s="159"/>
      <c r="CRP1" s="159"/>
      <c r="CRQ1" s="159"/>
      <c r="CRR1" s="159"/>
      <c r="CRS1" s="159"/>
      <c r="CRT1" s="159"/>
      <c r="CRU1" s="159"/>
      <c r="CRV1" s="159"/>
      <c r="CRW1" s="159"/>
      <c r="CRX1" s="159"/>
      <c r="CRY1" s="159"/>
      <c r="CRZ1" s="159"/>
      <c r="CSA1" s="159"/>
      <c r="CSB1" s="159"/>
      <c r="CSC1" s="159"/>
      <c r="CSD1" s="159"/>
      <c r="CSE1" s="159"/>
      <c r="CSF1" s="159"/>
      <c r="CSG1" s="159"/>
      <c r="CSH1" s="159"/>
      <c r="CSI1" s="159"/>
      <c r="CSJ1" s="159"/>
      <c r="CSK1" s="159"/>
      <c r="CSL1" s="159"/>
      <c r="CSM1" s="159"/>
      <c r="CSN1" s="159"/>
      <c r="CSO1" s="159"/>
      <c r="CSP1" s="159"/>
      <c r="CSQ1" s="159"/>
      <c r="CSR1" s="159"/>
      <c r="CSS1" s="159"/>
      <c r="CST1" s="159"/>
      <c r="CSU1" s="159"/>
      <c r="CSV1" s="159"/>
      <c r="CSW1" s="159"/>
      <c r="CSX1" s="159"/>
      <c r="CSY1" s="159"/>
      <c r="CSZ1" s="159"/>
      <c r="CTA1" s="159"/>
      <c r="CTB1" s="159"/>
      <c r="CTC1" s="159"/>
      <c r="CTD1" s="159"/>
      <c r="CTE1" s="159"/>
      <c r="CTF1" s="159"/>
      <c r="CTG1" s="159"/>
      <c r="CTH1" s="159"/>
      <c r="CTI1" s="159"/>
      <c r="CTJ1" s="159"/>
      <c r="CTK1" s="159"/>
      <c r="CTL1" s="159"/>
      <c r="CTM1" s="159"/>
      <c r="CTN1" s="159"/>
      <c r="CTO1" s="159"/>
      <c r="CTP1" s="159"/>
      <c r="CTQ1" s="159"/>
      <c r="CTR1" s="159"/>
      <c r="CTS1" s="159"/>
      <c r="CTT1" s="159"/>
      <c r="CTU1" s="159"/>
      <c r="CTV1" s="159"/>
      <c r="CTW1" s="159"/>
      <c r="CTX1" s="159"/>
      <c r="CTY1" s="159"/>
      <c r="CTZ1" s="159"/>
      <c r="CUA1" s="159"/>
      <c r="CUB1" s="159"/>
      <c r="CUC1" s="159"/>
      <c r="CUD1" s="159"/>
      <c r="CUE1" s="159"/>
      <c r="CUF1" s="159"/>
      <c r="CUG1" s="159"/>
      <c r="CUH1" s="159"/>
      <c r="CUI1" s="159"/>
      <c r="CUJ1" s="159"/>
      <c r="CUK1" s="159"/>
      <c r="CUL1" s="159"/>
      <c r="CUM1" s="159"/>
      <c r="CUN1" s="159"/>
      <c r="CUO1" s="159"/>
      <c r="CUP1" s="159"/>
      <c r="CUQ1" s="159"/>
      <c r="CUR1" s="159"/>
      <c r="CUS1" s="159"/>
      <c r="CUT1" s="159"/>
      <c r="CUU1" s="159"/>
      <c r="CUV1" s="159"/>
      <c r="CUW1" s="159"/>
      <c r="CUX1" s="159"/>
      <c r="CUY1" s="159"/>
      <c r="CUZ1" s="159"/>
      <c r="CVA1" s="159"/>
      <c r="CVB1" s="159"/>
      <c r="CVC1" s="159"/>
      <c r="CVD1" s="159"/>
      <c r="CVE1" s="159"/>
      <c r="CVF1" s="159"/>
      <c r="CVG1" s="159"/>
      <c r="CVH1" s="159"/>
      <c r="CVI1" s="159"/>
      <c r="CVJ1" s="159"/>
      <c r="CVK1" s="159"/>
      <c r="CVL1" s="159"/>
      <c r="CVM1" s="159"/>
      <c r="CVN1" s="159"/>
      <c r="CVO1" s="159"/>
      <c r="CVP1" s="159"/>
      <c r="CVQ1" s="159"/>
      <c r="CVR1" s="159"/>
      <c r="CVS1" s="159"/>
      <c r="CVT1" s="159"/>
      <c r="CVU1" s="159"/>
      <c r="CVV1" s="159"/>
      <c r="CVW1" s="159"/>
      <c r="CVX1" s="159"/>
      <c r="CVY1" s="159"/>
      <c r="CVZ1" s="159"/>
      <c r="CWA1" s="159"/>
      <c r="CWB1" s="159"/>
      <c r="CWC1" s="159"/>
      <c r="CWD1" s="159"/>
      <c r="CWE1" s="159"/>
      <c r="CWF1" s="159"/>
      <c r="CWG1" s="159"/>
      <c r="CWH1" s="159"/>
      <c r="CWI1" s="159"/>
      <c r="CWJ1" s="159"/>
      <c r="CWK1" s="159"/>
      <c r="CWL1" s="159"/>
      <c r="CWM1" s="159"/>
      <c r="CWN1" s="159"/>
      <c r="CWO1" s="159"/>
      <c r="CWP1" s="159"/>
      <c r="CWQ1" s="159"/>
      <c r="CWR1" s="159"/>
      <c r="CWS1" s="159"/>
      <c r="CWT1" s="159"/>
      <c r="CWU1" s="159"/>
      <c r="CWV1" s="159"/>
      <c r="CWW1" s="159"/>
      <c r="CWX1" s="159"/>
      <c r="CWY1" s="159"/>
      <c r="CWZ1" s="159"/>
      <c r="CXA1" s="159"/>
      <c r="CXB1" s="159"/>
      <c r="CXC1" s="159"/>
      <c r="CXD1" s="159"/>
      <c r="CYO1" s="159"/>
      <c r="CZC1" s="159"/>
      <c r="CZD1" s="159"/>
      <c r="CZE1" s="159"/>
      <c r="CZF1" s="159"/>
      <c r="CZG1" s="159"/>
      <c r="CZH1" s="159"/>
      <c r="CZI1" s="159"/>
      <c r="CZJ1" s="159"/>
      <c r="CZK1" s="159"/>
      <c r="CZL1" s="159"/>
      <c r="CZM1" s="159"/>
      <c r="CZN1" s="159"/>
      <c r="CZO1" s="159"/>
      <c r="CZP1" s="159"/>
      <c r="CZQ1" s="159"/>
      <c r="CZR1" s="159"/>
      <c r="CZS1" s="159"/>
      <c r="CZT1" s="159"/>
      <c r="CZU1" s="159"/>
      <c r="CZV1" s="159"/>
      <c r="CZW1" s="159"/>
      <c r="CZX1" s="159"/>
      <c r="CZY1" s="159"/>
      <c r="CZZ1" s="159"/>
      <c r="DAA1" s="159"/>
      <c r="DAB1" s="159"/>
      <c r="DAC1" s="159"/>
      <c r="DAD1" s="159"/>
      <c r="DAE1" s="159"/>
      <c r="DAF1" s="159"/>
      <c r="DAG1" s="159"/>
      <c r="DAH1" s="159"/>
      <c r="DAI1" s="159"/>
      <c r="DAJ1" s="159"/>
      <c r="DAK1" s="159"/>
      <c r="DAL1" s="159"/>
      <c r="DAM1" s="159"/>
      <c r="DAN1" s="159"/>
      <c r="DAO1" s="159"/>
      <c r="DAP1" s="159"/>
      <c r="DAQ1" s="159"/>
      <c r="DAR1" s="159"/>
      <c r="DAS1" s="159"/>
      <c r="DAT1" s="159"/>
      <c r="DAU1" s="159"/>
      <c r="DAV1" s="159"/>
      <c r="DAW1" s="159"/>
      <c r="DAX1" s="159"/>
      <c r="DAY1" s="159"/>
      <c r="DAZ1" s="159"/>
      <c r="DBA1" s="159"/>
      <c r="DBB1" s="159"/>
      <c r="DBC1" s="159"/>
      <c r="DBD1" s="159"/>
      <c r="DBE1" s="159"/>
      <c r="DBF1" s="159"/>
      <c r="DBG1" s="159"/>
      <c r="DBH1" s="159"/>
      <c r="DBI1" s="159"/>
      <c r="DBJ1" s="159"/>
      <c r="DBK1" s="159"/>
      <c r="DBL1" s="159"/>
      <c r="DBM1" s="159"/>
      <c r="DBN1" s="159"/>
      <c r="DBO1" s="159"/>
      <c r="DBP1" s="159"/>
      <c r="DBQ1" s="159"/>
      <c r="DBR1" s="159"/>
      <c r="DBS1" s="159"/>
      <c r="DBT1" s="159"/>
      <c r="DBU1" s="159"/>
      <c r="DBV1" s="159"/>
      <c r="DBW1" s="159"/>
      <c r="DBX1" s="159"/>
      <c r="DBY1" s="159"/>
      <c r="DBZ1" s="159"/>
      <c r="DCA1" s="159"/>
      <c r="DCB1" s="159"/>
      <c r="DCC1" s="159"/>
      <c r="DCD1" s="159"/>
      <c r="DCE1" s="159"/>
      <c r="DCF1" s="159"/>
      <c r="DCG1" s="159"/>
      <c r="DCH1" s="159"/>
      <c r="DCI1" s="159"/>
      <c r="DCJ1" s="159"/>
      <c r="DCK1" s="159"/>
      <c r="DCL1" s="159"/>
      <c r="DCM1" s="159"/>
      <c r="DCN1" s="159"/>
      <c r="DCO1" s="159"/>
      <c r="DCP1" s="159"/>
      <c r="DCQ1" s="159"/>
      <c r="DCR1" s="159"/>
      <c r="DCS1" s="159"/>
      <c r="DCT1" s="159"/>
      <c r="DCU1" s="159"/>
      <c r="DCV1" s="159"/>
      <c r="DCW1" s="159"/>
      <c r="DCX1" s="159"/>
      <c r="DCY1" s="159"/>
      <c r="DCZ1" s="159"/>
      <c r="DDA1" s="159"/>
      <c r="DDB1" s="159"/>
      <c r="DDC1" s="159"/>
      <c r="DDD1" s="159"/>
      <c r="DDE1" s="159"/>
      <c r="DDF1" s="159"/>
      <c r="DDG1" s="159"/>
      <c r="DDH1" s="159"/>
      <c r="DDI1" s="159"/>
      <c r="DDJ1" s="159"/>
      <c r="DDK1" s="159"/>
      <c r="DDL1" s="159"/>
      <c r="DDM1" s="159"/>
      <c r="DDN1" s="159"/>
      <c r="DDO1" s="159"/>
      <c r="DDP1" s="159"/>
      <c r="DDQ1" s="159"/>
      <c r="DDR1" s="159"/>
      <c r="DDS1" s="159"/>
      <c r="DDT1" s="159"/>
      <c r="DDU1" s="159"/>
      <c r="DDV1" s="159"/>
      <c r="DDW1" s="159"/>
      <c r="DDX1" s="159"/>
      <c r="DDY1" s="159"/>
      <c r="DDZ1" s="159"/>
      <c r="DEA1" s="159"/>
      <c r="DEB1" s="159"/>
      <c r="DEC1" s="159"/>
      <c r="DED1" s="159"/>
      <c r="DEE1" s="159"/>
      <c r="DEF1" s="159"/>
      <c r="DEG1" s="159"/>
      <c r="DEH1" s="159"/>
      <c r="DEI1" s="159"/>
      <c r="DEJ1" s="159"/>
      <c r="DEK1" s="159"/>
      <c r="DEL1" s="159"/>
      <c r="DEM1" s="159"/>
      <c r="DEN1" s="159"/>
      <c r="DEO1" s="159"/>
      <c r="DEP1" s="159"/>
      <c r="DEQ1" s="159"/>
      <c r="DER1" s="159"/>
      <c r="DES1" s="159"/>
      <c r="DET1" s="159"/>
      <c r="DEU1" s="159"/>
      <c r="DEV1" s="159"/>
      <c r="DEW1" s="159"/>
      <c r="DEX1" s="159"/>
      <c r="DEY1" s="159"/>
      <c r="DEZ1" s="159"/>
      <c r="DFA1" s="159"/>
      <c r="DFB1" s="159"/>
      <c r="DFC1" s="159"/>
      <c r="DFD1" s="159"/>
      <c r="DFE1" s="159"/>
      <c r="DFF1" s="159"/>
      <c r="DFG1" s="159"/>
      <c r="DFH1" s="159"/>
      <c r="DFI1" s="159"/>
      <c r="DFJ1" s="159"/>
      <c r="DFK1" s="159"/>
      <c r="DFL1" s="159"/>
      <c r="DFM1" s="159"/>
      <c r="DFN1" s="159"/>
      <c r="DFO1" s="159"/>
      <c r="DFP1" s="159"/>
      <c r="DFQ1" s="159"/>
      <c r="DFR1" s="159"/>
      <c r="DFS1" s="159"/>
      <c r="DFT1" s="159"/>
      <c r="DFU1" s="159"/>
      <c r="DFV1" s="159"/>
      <c r="DFW1" s="159"/>
      <c r="DFX1" s="159"/>
      <c r="DFY1" s="159"/>
      <c r="DFZ1" s="159"/>
      <c r="DGA1" s="159"/>
      <c r="DGB1" s="159"/>
      <c r="DGC1" s="159"/>
      <c r="DGD1" s="159"/>
      <c r="DGE1" s="159"/>
      <c r="DGF1" s="159"/>
      <c r="DGG1" s="159"/>
      <c r="DGH1" s="159"/>
      <c r="DGI1" s="159"/>
      <c r="DGJ1" s="159"/>
      <c r="DGK1" s="159"/>
      <c r="DGL1" s="159"/>
      <c r="DGM1" s="159"/>
      <c r="DGN1" s="159"/>
      <c r="DGO1" s="159"/>
      <c r="DGP1" s="159"/>
      <c r="DGQ1" s="159"/>
      <c r="DGR1" s="159"/>
      <c r="DGS1" s="159"/>
      <c r="DGT1" s="159"/>
      <c r="DGU1" s="159"/>
      <c r="DGV1" s="159"/>
      <c r="DGW1" s="159"/>
      <c r="DGX1" s="159"/>
      <c r="DGY1" s="159"/>
      <c r="DGZ1" s="159"/>
      <c r="DIK1" s="159"/>
      <c r="DIY1" s="159"/>
      <c r="DIZ1" s="159"/>
      <c r="DJA1" s="159"/>
      <c r="DJB1" s="159"/>
      <c r="DJC1" s="159"/>
      <c r="DJD1" s="159"/>
      <c r="DJE1" s="159"/>
      <c r="DJF1" s="159"/>
      <c r="DJG1" s="159"/>
      <c r="DJH1" s="159"/>
      <c r="DJI1" s="159"/>
      <c r="DJJ1" s="159"/>
      <c r="DJK1" s="159"/>
      <c r="DJL1" s="159"/>
      <c r="DJM1" s="159"/>
      <c r="DJN1" s="159"/>
      <c r="DJO1" s="159"/>
      <c r="DJP1" s="159"/>
      <c r="DJQ1" s="159"/>
      <c r="DJR1" s="159"/>
      <c r="DJS1" s="159"/>
      <c r="DJT1" s="159"/>
      <c r="DJU1" s="159"/>
      <c r="DJV1" s="159"/>
      <c r="DJW1" s="159"/>
      <c r="DJX1" s="159"/>
      <c r="DJY1" s="159"/>
      <c r="DJZ1" s="159"/>
      <c r="DKA1" s="159"/>
      <c r="DKB1" s="159"/>
      <c r="DKC1" s="159"/>
      <c r="DKD1" s="159"/>
      <c r="DKE1" s="159"/>
      <c r="DKF1" s="159"/>
      <c r="DKG1" s="159"/>
      <c r="DKH1" s="159"/>
      <c r="DKI1" s="159"/>
      <c r="DKJ1" s="159"/>
      <c r="DKK1" s="159"/>
      <c r="DKL1" s="159"/>
      <c r="DKM1" s="159"/>
      <c r="DKN1" s="159"/>
      <c r="DKO1" s="159"/>
      <c r="DKP1" s="159"/>
      <c r="DKQ1" s="159"/>
      <c r="DKR1" s="159"/>
      <c r="DKS1" s="159"/>
      <c r="DKT1" s="159"/>
      <c r="DKU1" s="159"/>
      <c r="DKV1" s="159"/>
      <c r="DKW1" s="159"/>
      <c r="DKX1" s="159"/>
      <c r="DKY1" s="159"/>
      <c r="DKZ1" s="159"/>
      <c r="DLA1" s="159"/>
      <c r="DLB1" s="159"/>
      <c r="DLC1" s="159"/>
      <c r="DLD1" s="159"/>
      <c r="DLE1" s="159"/>
      <c r="DLF1" s="159"/>
      <c r="DLG1" s="159"/>
      <c r="DLH1" s="159"/>
      <c r="DLI1" s="159"/>
      <c r="DLJ1" s="159"/>
      <c r="DLK1" s="159"/>
      <c r="DLL1" s="159"/>
      <c r="DLM1" s="159"/>
      <c r="DLN1" s="159"/>
      <c r="DLO1" s="159"/>
      <c r="DLP1" s="159"/>
      <c r="DLQ1" s="159"/>
      <c r="DLR1" s="159"/>
      <c r="DLS1" s="159"/>
      <c r="DLT1" s="159"/>
      <c r="DLU1" s="159"/>
      <c r="DLV1" s="159"/>
      <c r="DLW1" s="159"/>
      <c r="DLX1" s="159"/>
      <c r="DLY1" s="159"/>
      <c r="DLZ1" s="159"/>
      <c r="DMA1" s="159"/>
      <c r="DMB1" s="159"/>
      <c r="DMC1" s="159"/>
      <c r="DMD1" s="159"/>
      <c r="DME1" s="159"/>
      <c r="DMF1" s="159"/>
      <c r="DMG1" s="159"/>
      <c r="DMH1" s="159"/>
      <c r="DMI1" s="159"/>
      <c r="DMJ1" s="159"/>
      <c r="DMK1" s="159"/>
      <c r="DML1" s="159"/>
      <c r="DMM1" s="159"/>
      <c r="DMN1" s="159"/>
      <c r="DMO1" s="159"/>
      <c r="DMP1" s="159"/>
      <c r="DMQ1" s="159"/>
      <c r="DMR1" s="159"/>
      <c r="DMS1" s="159"/>
      <c r="DMT1" s="159"/>
      <c r="DMU1" s="159"/>
      <c r="DMV1" s="159"/>
      <c r="DMW1" s="159"/>
      <c r="DMX1" s="159"/>
      <c r="DMY1" s="159"/>
      <c r="DMZ1" s="159"/>
      <c r="DNA1" s="159"/>
      <c r="DNB1" s="159"/>
      <c r="DNC1" s="159"/>
      <c r="DND1" s="159"/>
      <c r="DNE1" s="159"/>
      <c r="DNF1" s="159"/>
      <c r="DNG1" s="159"/>
      <c r="DNH1" s="159"/>
      <c r="DNI1" s="159"/>
      <c r="DNJ1" s="159"/>
      <c r="DNK1" s="159"/>
      <c r="DNL1" s="159"/>
      <c r="DNM1" s="159"/>
      <c r="DNN1" s="159"/>
      <c r="DNO1" s="159"/>
      <c r="DNP1" s="159"/>
      <c r="DNQ1" s="159"/>
      <c r="DNR1" s="159"/>
      <c r="DNS1" s="159"/>
      <c r="DNT1" s="159"/>
      <c r="DNU1" s="159"/>
      <c r="DNV1" s="159"/>
      <c r="DNW1" s="159"/>
      <c r="DNX1" s="159"/>
      <c r="DNY1" s="159"/>
      <c r="DNZ1" s="159"/>
      <c r="DOA1" s="159"/>
      <c r="DOB1" s="159"/>
      <c r="DOC1" s="159"/>
      <c r="DOD1" s="159"/>
      <c r="DOE1" s="159"/>
      <c r="DOF1" s="159"/>
      <c r="DOG1" s="159"/>
      <c r="DOH1" s="159"/>
      <c r="DOI1" s="159"/>
      <c r="DOJ1" s="159"/>
      <c r="DOK1" s="159"/>
      <c r="DOL1" s="159"/>
      <c r="DOM1" s="159"/>
      <c r="DON1" s="159"/>
      <c r="DOO1" s="159"/>
      <c r="DOP1" s="159"/>
      <c r="DOQ1" s="159"/>
      <c r="DOR1" s="159"/>
      <c r="DOS1" s="159"/>
      <c r="DOT1" s="159"/>
      <c r="DOU1" s="159"/>
      <c r="DOV1" s="159"/>
      <c r="DOW1" s="159"/>
      <c r="DOX1" s="159"/>
      <c r="DOY1" s="159"/>
      <c r="DOZ1" s="159"/>
      <c r="DPA1" s="159"/>
      <c r="DPB1" s="159"/>
      <c r="DPC1" s="159"/>
      <c r="DPD1" s="159"/>
      <c r="DPE1" s="159"/>
      <c r="DPF1" s="159"/>
      <c r="DPG1" s="159"/>
      <c r="DPH1" s="159"/>
      <c r="DPI1" s="159"/>
      <c r="DPJ1" s="159"/>
      <c r="DPK1" s="159"/>
      <c r="DPL1" s="159"/>
      <c r="DPM1" s="159"/>
      <c r="DPN1" s="159"/>
      <c r="DPO1" s="159"/>
      <c r="DPP1" s="159"/>
      <c r="DPQ1" s="159"/>
      <c r="DPR1" s="159"/>
      <c r="DPS1" s="159"/>
      <c r="DPT1" s="159"/>
      <c r="DPU1" s="159"/>
      <c r="DPV1" s="159"/>
      <c r="DPW1" s="159"/>
      <c r="DPX1" s="159"/>
      <c r="DPY1" s="159"/>
      <c r="DPZ1" s="159"/>
      <c r="DQA1" s="159"/>
      <c r="DQB1" s="159"/>
      <c r="DQC1" s="159"/>
      <c r="DQD1" s="159"/>
      <c r="DQE1" s="159"/>
      <c r="DQF1" s="159"/>
      <c r="DQG1" s="159"/>
      <c r="DQH1" s="159"/>
      <c r="DQI1" s="159"/>
      <c r="DQJ1" s="159"/>
      <c r="DQK1" s="159"/>
      <c r="DQL1" s="159"/>
      <c r="DQM1" s="159"/>
      <c r="DQN1" s="159"/>
      <c r="DQO1" s="159"/>
      <c r="DQP1" s="159"/>
      <c r="DQQ1" s="159"/>
      <c r="DQR1" s="159"/>
      <c r="DQS1" s="159"/>
      <c r="DQT1" s="159"/>
      <c r="DQU1" s="159"/>
      <c r="DQV1" s="159"/>
      <c r="DSG1" s="159"/>
      <c r="DSU1" s="159"/>
      <c r="DSV1" s="159"/>
      <c r="DSW1" s="159"/>
      <c r="DSX1" s="159"/>
      <c r="DSY1" s="159"/>
      <c r="DSZ1" s="159"/>
      <c r="DTA1" s="159"/>
      <c r="DTB1" s="159"/>
      <c r="DTC1" s="159"/>
      <c r="DTD1" s="159"/>
      <c r="DTE1" s="159"/>
      <c r="DTF1" s="159"/>
      <c r="DTG1" s="159"/>
      <c r="DTH1" s="159"/>
      <c r="DTI1" s="159"/>
      <c r="DTJ1" s="159"/>
      <c r="DTK1" s="159"/>
      <c r="DTL1" s="159"/>
      <c r="DTM1" s="159"/>
      <c r="DTN1" s="159"/>
      <c r="DTO1" s="159"/>
      <c r="DTP1" s="159"/>
      <c r="DTQ1" s="159"/>
      <c r="DTR1" s="159"/>
      <c r="DTS1" s="159"/>
      <c r="DTT1" s="159"/>
      <c r="DTU1" s="159"/>
      <c r="DTV1" s="159"/>
      <c r="DTW1" s="159"/>
      <c r="DTX1" s="159"/>
      <c r="DTY1" s="159"/>
      <c r="DTZ1" s="159"/>
      <c r="DUA1" s="159"/>
      <c r="DUB1" s="159"/>
      <c r="DUC1" s="159"/>
      <c r="DUD1" s="159"/>
      <c r="DUE1" s="159"/>
      <c r="DUF1" s="159"/>
      <c r="DUG1" s="159"/>
      <c r="DUH1" s="159"/>
      <c r="DUI1" s="159"/>
      <c r="DUJ1" s="159"/>
      <c r="DUK1" s="159"/>
      <c r="DUL1" s="159"/>
      <c r="DUM1" s="159"/>
      <c r="DUN1" s="159"/>
      <c r="DUO1" s="159"/>
      <c r="DUP1" s="159"/>
      <c r="DUQ1" s="159"/>
      <c r="DUR1" s="159"/>
      <c r="DUS1" s="159"/>
      <c r="DUT1" s="159"/>
      <c r="DUU1" s="159"/>
      <c r="DUV1" s="159"/>
      <c r="DUW1" s="159"/>
      <c r="DUX1" s="159"/>
      <c r="DUY1" s="159"/>
      <c r="DUZ1" s="159"/>
      <c r="DVA1" s="159"/>
      <c r="DVB1" s="159"/>
      <c r="DVC1" s="159"/>
      <c r="DVD1" s="159"/>
      <c r="DVE1" s="159"/>
      <c r="DVF1" s="159"/>
      <c r="DVG1" s="159"/>
      <c r="DVH1" s="159"/>
      <c r="DVI1" s="159"/>
      <c r="DVJ1" s="159"/>
      <c r="DVK1" s="159"/>
      <c r="DVL1" s="159"/>
      <c r="DVM1" s="159"/>
      <c r="DVN1" s="159"/>
      <c r="DVO1" s="159"/>
      <c r="DVP1" s="159"/>
      <c r="DVQ1" s="159"/>
      <c r="DVR1" s="159"/>
      <c r="DVS1" s="159"/>
      <c r="DVT1" s="159"/>
      <c r="DVU1" s="159"/>
      <c r="DVV1" s="159"/>
      <c r="DVW1" s="159"/>
      <c r="DVX1" s="159"/>
      <c r="DVY1" s="159"/>
      <c r="DVZ1" s="159"/>
      <c r="DWA1" s="159"/>
      <c r="DWB1" s="159"/>
      <c r="DWC1" s="159"/>
      <c r="DWD1" s="159"/>
      <c r="DWE1" s="159"/>
      <c r="DWF1" s="159"/>
      <c r="DWG1" s="159"/>
      <c r="DWH1" s="159"/>
      <c r="DWI1" s="159"/>
      <c r="DWJ1" s="159"/>
      <c r="DWK1" s="159"/>
      <c r="DWL1" s="159"/>
      <c r="DWM1" s="159"/>
      <c r="DWN1" s="159"/>
      <c r="DWO1" s="159"/>
      <c r="DWP1" s="159"/>
      <c r="DWQ1" s="159"/>
      <c r="DWR1" s="159"/>
      <c r="DWS1" s="159"/>
      <c r="DWT1" s="159"/>
      <c r="DWU1" s="159"/>
      <c r="DWV1" s="159"/>
      <c r="DWW1" s="159"/>
      <c r="DWX1" s="159"/>
      <c r="DWY1" s="159"/>
      <c r="DWZ1" s="159"/>
      <c r="DXA1" s="159"/>
      <c r="DXB1" s="159"/>
      <c r="DXC1" s="159"/>
      <c r="DXD1" s="159"/>
      <c r="DXE1" s="159"/>
      <c r="DXF1" s="159"/>
      <c r="DXG1" s="159"/>
      <c r="DXH1" s="159"/>
      <c r="DXI1" s="159"/>
      <c r="DXJ1" s="159"/>
      <c r="DXK1" s="159"/>
      <c r="DXL1" s="159"/>
      <c r="DXM1" s="159"/>
      <c r="DXN1" s="159"/>
      <c r="DXO1" s="159"/>
      <c r="DXP1" s="159"/>
      <c r="DXQ1" s="159"/>
      <c r="DXR1" s="159"/>
      <c r="DXS1" s="159"/>
      <c r="DXT1" s="159"/>
      <c r="DXU1" s="159"/>
      <c r="DXV1" s="159"/>
      <c r="DXW1" s="159"/>
      <c r="DXX1" s="159"/>
      <c r="DXY1" s="159"/>
      <c r="DXZ1" s="159"/>
      <c r="DYA1" s="159"/>
      <c r="DYB1" s="159"/>
      <c r="DYC1" s="159"/>
      <c r="DYD1" s="159"/>
      <c r="DYE1" s="159"/>
      <c r="DYF1" s="159"/>
      <c r="DYG1" s="159"/>
      <c r="DYH1" s="159"/>
      <c r="DYI1" s="159"/>
      <c r="DYJ1" s="159"/>
      <c r="DYK1" s="159"/>
      <c r="DYL1" s="159"/>
      <c r="DYM1" s="159"/>
      <c r="DYN1" s="159"/>
      <c r="DYO1" s="159"/>
      <c r="DYP1" s="159"/>
      <c r="DYQ1" s="159"/>
      <c r="DYR1" s="159"/>
      <c r="DYS1" s="159"/>
      <c r="DYT1" s="159"/>
      <c r="DYU1" s="159"/>
      <c r="DYV1" s="159"/>
      <c r="DYW1" s="159"/>
      <c r="DYX1" s="159"/>
      <c r="DYY1" s="159"/>
      <c r="DYZ1" s="159"/>
      <c r="DZA1" s="159"/>
      <c r="DZB1" s="159"/>
      <c r="DZC1" s="159"/>
      <c r="DZD1" s="159"/>
      <c r="DZE1" s="159"/>
      <c r="DZF1" s="159"/>
      <c r="DZG1" s="159"/>
      <c r="DZH1" s="159"/>
      <c r="DZI1" s="159"/>
      <c r="DZJ1" s="159"/>
      <c r="DZK1" s="159"/>
      <c r="DZL1" s="159"/>
      <c r="DZM1" s="159"/>
      <c r="DZN1" s="159"/>
      <c r="DZO1" s="159"/>
      <c r="DZP1" s="159"/>
      <c r="DZQ1" s="159"/>
      <c r="DZR1" s="159"/>
      <c r="DZS1" s="159"/>
      <c r="DZT1" s="159"/>
      <c r="DZU1" s="159"/>
      <c r="DZV1" s="159"/>
      <c r="DZW1" s="159"/>
      <c r="DZX1" s="159"/>
      <c r="DZY1" s="159"/>
      <c r="DZZ1" s="159"/>
      <c r="EAA1" s="159"/>
      <c r="EAB1" s="159"/>
      <c r="EAC1" s="159"/>
      <c r="EAD1" s="159"/>
      <c r="EAE1" s="159"/>
      <c r="EAF1" s="159"/>
      <c r="EAG1" s="159"/>
      <c r="EAH1" s="159"/>
      <c r="EAI1" s="159"/>
      <c r="EAJ1" s="159"/>
      <c r="EAK1" s="159"/>
      <c r="EAL1" s="159"/>
      <c r="EAM1" s="159"/>
      <c r="EAN1" s="159"/>
      <c r="EAO1" s="159"/>
      <c r="EAP1" s="159"/>
      <c r="EAQ1" s="159"/>
      <c r="EAR1" s="159"/>
      <c r="ECC1" s="159"/>
      <c r="ECQ1" s="159"/>
      <c r="ECR1" s="159"/>
      <c r="ECS1" s="159"/>
      <c r="ECT1" s="159"/>
      <c r="ECU1" s="159"/>
      <c r="ECV1" s="159"/>
      <c r="ECW1" s="159"/>
      <c r="ECX1" s="159"/>
      <c r="ECY1" s="159"/>
      <c r="ECZ1" s="159"/>
      <c r="EDA1" s="159"/>
      <c r="EDB1" s="159"/>
      <c r="EDC1" s="159"/>
      <c r="EDD1" s="159"/>
      <c r="EDE1" s="159"/>
      <c r="EDF1" s="159"/>
      <c r="EDG1" s="159"/>
      <c r="EDH1" s="159"/>
      <c r="EDI1" s="159"/>
      <c r="EDJ1" s="159"/>
      <c r="EDK1" s="159"/>
      <c r="EDL1" s="159"/>
      <c r="EDM1" s="159"/>
      <c r="EDN1" s="159"/>
      <c r="EDO1" s="159"/>
      <c r="EDP1" s="159"/>
      <c r="EDQ1" s="159"/>
      <c r="EDR1" s="159"/>
      <c r="EDS1" s="159"/>
      <c r="EDT1" s="159"/>
      <c r="EDU1" s="159"/>
      <c r="EDV1" s="159"/>
      <c r="EDW1" s="159"/>
      <c r="EDX1" s="159"/>
      <c r="EDY1" s="159"/>
      <c r="EDZ1" s="159"/>
      <c r="EEA1" s="159"/>
      <c r="EEB1" s="159"/>
      <c r="EEC1" s="159"/>
      <c r="EED1" s="159"/>
      <c r="EEE1" s="159"/>
      <c r="EEF1" s="159"/>
      <c r="EEG1" s="159"/>
      <c r="EEH1" s="159"/>
      <c r="EEI1" s="159"/>
      <c r="EEJ1" s="159"/>
      <c r="EEK1" s="159"/>
      <c r="EEL1" s="159"/>
      <c r="EEM1" s="159"/>
      <c r="EEN1" s="159"/>
      <c r="EEO1" s="159"/>
      <c r="EEP1" s="159"/>
      <c r="EEQ1" s="159"/>
      <c r="EER1" s="159"/>
      <c r="EES1" s="159"/>
      <c r="EET1" s="159"/>
      <c r="EEU1" s="159"/>
      <c r="EEV1" s="159"/>
      <c r="EEW1" s="159"/>
      <c r="EEX1" s="159"/>
      <c r="EEY1" s="159"/>
      <c r="EEZ1" s="159"/>
      <c r="EFA1" s="159"/>
      <c r="EFB1" s="159"/>
      <c r="EFC1" s="159"/>
      <c r="EFD1" s="159"/>
      <c r="EFE1" s="159"/>
      <c r="EFF1" s="159"/>
      <c r="EFG1" s="159"/>
      <c r="EFH1" s="159"/>
      <c r="EFI1" s="159"/>
      <c r="EFJ1" s="159"/>
      <c r="EFK1" s="159"/>
      <c r="EFL1" s="159"/>
      <c r="EFM1" s="159"/>
      <c r="EFN1" s="159"/>
      <c r="EFO1" s="159"/>
      <c r="EFP1" s="159"/>
      <c r="EFQ1" s="159"/>
      <c r="EFR1" s="159"/>
      <c r="EFS1" s="159"/>
      <c r="EFT1" s="159"/>
      <c r="EFU1" s="159"/>
      <c r="EFV1" s="159"/>
      <c r="EFW1" s="159"/>
      <c r="EFX1" s="159"/>
      <c r="EFY1" s="159"/>
      <c r="EFZ1" s="159"/>
      <c r="EGA1" s="159"/>
      <c r="EGB1" s="159"/>
      <c r="EGC1" s="159"/>
      <c r="EGD1" s="159"/>
      <c r="EGE1" s="159"/>
      <c r="EGF1" s="159"/>
      <c r="EGG1" s="159"/>
      <c r="EGH1" s="159"/>
      <c r="EGI1" s="159"/>
      <c r="EGJ1" s="159"/>
      <c r="EGK1" s="159"/>
      <c r="EGL1" s="159"/>
      <c r="EGM1" s="159"/>
      <c r="EGN1" s="159"/>
      <c r="EGO1" s="159"/>
      <c r="EGP1" s="159"/>
      <c r="EGQ1" s="159"/>
      <c r="EGR1" s="159"/>
      <c r="EGS1" s="159"/>
      <c r="EGT1" s="159"/>
      <c r="EGU1" s="159"/>
      <c r="EGV1" s="159"/>
      <c r="EGW1" s="159"/>
      <c r="EGX1" s="159"/>
      <c r="EGY1" s="159"/>
      <c r="EGZ1" s="159"/>
      <c r="EHA1" s="159"/>
      <c r="EHB1" s="159"/>
      <c r="EHC1" s="159"/>
      <c r="EHD1" s="159"/>
      <c r="EHE1" s="159"/>
      <c r="EHF1" s="159"/>
      <c r="EHG1" s="159"/>
      <c r="EHH1" s="159"/>
      <c r="EHI1" s="159"/>
      <c r="EHJ1" s="159"/>
      <c r="EHK1" s="159"/>
      <c r="EHL1" s="159"/>
      <c r="EHM1" s="159"/>
      <c r="EHN1" s="159"/>
      <c r="EHO1" s="159"/>
      <c r="EHP1" s="159"/>
      <c r="EHQ1" s="159"/>
      <c r="EHR1" s="159"/>
      <c r="EHS1" s="159"/>
      <c r="EHT1" s="159"/>
      <c r="EHU1" s="159"/>
      <c r="EHV1" s="159"/>
      <c r="EHW1" s="159"/>
      <c r="EHX1" s="159"/>
      <c r="EHY1" s="159"/>
      <c r="EHZ1" s="159"/>
      <c r="EIA1" s="159"/>
      <c r="EIB1" s="159"/>
      <c r="EIC1" s="159"/>
      <c r="EID1" s="159"/>
      <c r="EIE1" s="159"/>
      <c r="EIF1" s="159"/>
      <c r="EIG1" s="159"/>
      <c r="EIH1" s="159"/>
      <c r="EII1" s="159"/>
      <c r="EIJ1" s="159"/>
      <c r="EIK1" s="159"/>
      <c r="EIL1" s="159"/>
      <c r="EIM1" s="159"/>
      <c r="EIN1" s="159"/>
      <c r="EIO1" s="159"/>
      <c r="EIP1" s="159"/>
      <c r="EIQ1" s="159"/>
      <c r="EIR1" s="159"/>
      <c r="EIS1" s="159"/>
      <c r="EIT1" s="159"/>
      <c r="EIU1" s="159"/>
      <c r="EIV1" s="159"/>
      <c r="EIW1" s="159"/>
      <c r="EIX1" s="159"/>
      <c r="EIY1" s="159"/>
      <c r="EIZ1" s="159"/>
      <c r="EJA1" s="159"/>
      <c r="EJB1" s="159"/>
      <c r="EJC1" s="159"/>
      <c r="EJD1" s="159"/>
      <c r="EJE1" s="159"/>
      <c r="EJF1" s="159"/>
      <c r="EJG1" s="159"/>
      <c r="EJH1" s="159"/>
      <c r="EJI1" s="159"/>
      <c r="EJJ1" s="159"/>
      <c r="EJK1" s="159"/>
      <c r="EJL1" s="159"/>
      <c r="EJM1" s="159"/>
      <c r="EJN1" s="159"/>
      <c r="EJO1" s="159"/>
      <c r="EJP1" s="159"/>
      <c r="EJQ1" s="159"/>
      <c r="EJR1" s="159"/>
      <c r="EJS1" s="159"/>
      <c r="EJT1" s="159"/>
      <c r="EJU1" s="159"/>
      <c r="EJV1" s="159"/>
      <c r="EJW1" s="159"/>
      <c r="EJX1" s="159"/>
      <c r="EJY1" s="159"/>
      <c r="EJZ1" s="159"/>
      <c r="EKA1" s="159"/>
      <c r="EKB1" s="159"/>
      <c r="EKC1" s="159"/>
      <c r="EKD1" s="159"/>
      <c r="EKE1" s="159"/>
      <c r="EKF1" s="159"/>
      <c r="EKG1" s="159"/>
      <c r="EKH1" s="159"/>
      <c r="EKI1" s="159"/>
      <c r="EKJ1" s="159"/>
      <c r="EKK1" s="159"/>
      <c r="EKL1" s="159"/>
      <c r="EKM1" s="159"/>
      <c r="EKN1" s="159"/>
      <c r="ELY1" s="159"/>
      <c r="EMM1" s="159"/>
      <c r="EMN1" s="159"/>
      <c r="EMO1" s="159"/>
      <c r="EMP1" s="159"/>
      <c r="EMQ1" s="159"/>
      <c r="EMR1" s="159"/>
      <c r="EMS1" s="159"/>
      <c r="EMT1" s="159"/>
      <c r="EMU1" s="159"/>
      <c r="EMV1" s="159"/>
      <c r="EMW1" s="159"/>
      <c r="EMX1" s="159"/>
      <c r="EMY1" s="159"/>
      <c r="EMZ1" s="159"/>
      <c r="ENA1" s="159"/>
      <c r="ENB1" s="159"/>
      <c r="ENC1" s="159"/>
      <c r="END1" s="159"/>
      <c r="ENE1" s="159"/>
      <c r="ENF1" s="159"/>
      <c r="ENG1" s="159"/>
      <c r="ENH1" s="159"/>
      <c r="ENI1" s="159"/>
      <c r="ENJ1" s="159"/>
      <c r="ENK1" s="159"/>
      <c r="ENL1" s="159"/>
      <c r="ENM1" s="159"/>
      <c r="ENN1" s="159"/>
      <c r="ENO1" s="159"/>
      <c r="ENP1" s="159"/>
      <c r="ENQ1" s="159"/>
      <c r="ENR1" s="159"/>
      <c r="ENS1" s="159"/>
      <c r="ENT1" s="159"/>
      <c r="ENU1" s="159"/>
      <c r="ENV1" s="159"/>
      <c r="ENW1" s="159"/>
      <c r="ENX1" s="159"/>
      <c r="ENY1" s="159"/>
      <c r="ENZ1" s="159"/>
      <c r="EOA1" s="159"/>
      <c r="EOB1" s="159"/>
      <c r="EOC1" s="159"/>
      <c r="EOD1" s="159"/>
      <c r="EOE1" s="159"/>
      <c r="EOF1" s="159"/>
      <c r="EOG1" s="159"/>
      <c r="EOH1" s="159"/>
      <c r="EOI1" s="159"/>
      <c r="EOJ1" s="159"/>
      <c r="EOK1" s="159"/>
      <c r="EOL1" s="159"/>
      <c r="EOM1" s="159"/>
      <c r="EON1" s="159"/>
      <c r="EOO1" s="159"/>
      <c r="EOP1" s="159"/>
      <c r="EOQ1" s="159"/>
      <c r="EOR1" s="159"/>
      <c r="EOS1" s="159"/>
      <c r="EOT1" s="159"/>
      <c r="EOU1" s="159"/>
      <c r="EOV1" s="159"/>
      <c r="EOW1" s="159"/>
      <c r="EOX1" s="159"/>
      <c r="EOY1" s="159"/>
      <c r="EOZ1" s="159"/>
      <c r="EPA1" s="159"/>
      <c r="EPB1" s="159"/>
      <c r="EPC1" s="159"/>
      <c r="EPD1" s="159"/>
      <c r="EPE1" s="159"/>
      <c r="EPF1" s="159"/>
      <c r="EPG1" s="159"/>
      <c r="EPH1" s="159"/>
      <c r="EPI1" s="159"/>
      <c r="EPJ1" s="159"/>
      <c r="EPK1" s="159"/>
      <c r="EPL1" s="159"/>
      <c r="EPM1" s="159"/>
      <c r="EPN1" s="159"/>
      <c r="EPO1" s="159"/>
      <c r="EPP1" s="159"/>
      <c r="EPQ1" s="159"/>
      <c r="EPR1" s="159"/>
      <c r="EPS1" s="159"/>
      <c r="EPT1" s="159"/>
      <c r="EPU1" s="159"/>
      <c r="EPV1" s="159"/>
      <c r="EPW1" s="159"/>
      <c r="EPX1" s="159"/>
      <c r="EPY1" s="159"/>
      <c r="EPZ1" s="159"/>
      <c r="EQA1" s="159"/>
      <c r="EQB1" s="159"/>
      <c r="EQC1" s="159"/>
      <c r="EQD1" s="159"/>
      <c r="EQE1" s="159"/>
      <c r="EQF1" s="159"/>
      <c r="EQG1" s="159"/>
      <c r="EQH1" s="159"/>
      <c r="EQI1" s="159"/>
      <c r="EQJ1" s="159"/>
      <c r="EQK1" s="159"/>
      <c r="EQL1" s="159"/>
      <c r="EQM1" s="159"/>
      <c r="EQN1" s="159"/>
      <c r="EQO1" s="159"/>
      <c r="EQP1" s="159"/>
      <c r="EQQ1" s="159"/>
      <c r="EQR1" s="159"/>
      <c r="EQS1" s="159"/>
      <c r="EQT1" s="159"/>
      <c r="EQU1" s="159"/>
      <c r="EQV1" s="159"/>
      <c r="EQW1" s="159"/>
      <c r="EQX1" s="159"/>
      <c r="EQY1" s="159"/>
      <c r="EQZ1" s="159"/>
      <c r="ERA1" s="159"/>
      <c r="ERB1" s="159"/>
      <c r="ERC1" s="159"/>
      <c r="ERD1" s="159"/>
      <c r="ERE1" s="159"/>
      <c r="ERF1" s="159"/>
      <c r="ERG1" s="159"/>
      <c r="ERH1" s="159"/>
      <c r="ERI1" s="159"/>
      <c r="ERJ1" s="159"/>
      <c r="ERK1" s="159"/>
      <c r="ERL1" s="159"/>
      <c r="ERM1" s="159"/>
      <c r="ERN1" s="159"/>
      <c r="ERO1" s="159"/>
      <c r="ERP1" s="159"/>
      <c r="ERQ1" s="159"/>
      <c r="ERR1" s="159"/>
      <c r="ERS1" s="159"/>
      <c r="ERT1" s="159"/>
      <c r="ERU1" s="159"/>
      <c r="ERV1" s="159"/>
      <c r="ERW1" s="159"/>
      <c r="ERX1" s="159"/>
      <c r="ERY1" s="159"/>
      <c r="ERZ1" s="159"/>
      <c r="ESA1" s="159"/>
      <c r="ESB1" s="159"/>
      <c r="ESC1" s="159"/>
      <c r="ESD1" s="159"/>
      <c r="ESE1" s="159"/>
      <c r="ESF1" s="159"/>
      <c r="ESG1" s="159"/>
      <c r="ESH1" s="159"/>
      <c r="ESI1" s="159"/>
      <c r="ESJ1" s="159"/>
      <c r="ESK1" s="159"/>
      <c r="ESL1" s="159"/>
      <c r="ESM1" s="159"/>
      <c r="ESN1" s="159"/>
      <c r="ESO1" s="159"/>
      <c r="ESP1" s="159"/>
      <c r="ESQ1" s="159"/>
      <c r="ESR1" s="159"/>
      <c r="ESS1" s="159"/>
      <c r="EST1" s="159"/>
      <c r="ESU1" s="159"/>
      <c r="ESV1" s="159"/>
      <c r="ESW1" s="159"/>
      <c r="ESX1" s="159"/>
      <c r="ESY1" s="159"/>
      <c r="ESZ1" s="159"/>
      <c r="ETA1" s="159"/>
      <c r="ETB1" s="159"/>
      <c r="ETC1" s="159"/>
      <c r="ETD1" s="159"/>
      <c r="ETE1" s="159"/>
      <c r="ETF1" s="159"/>
      <c r="ETG1" s="159"/>
      <c r="ETH1" s="159"/>
      <c r="ETI1" s="159"/>
      <c r="ETJ1" s="159"/>
      <c r="ETK1" s="159"/>
      <c r="ETL1" s="159"/>
      <c r="ETM1" s="159"/>
      <c r="ETN1" s="159"/>
      <c r="ETO1" s="159"/>
      <c r="ETP1" s="159"/>
      <c r="ETQ1" s="159"/>
      <c r="ETR1" s="159"/>
      <c r="ETS1" s="159"/>
      <c r="ETT1" s="159"/>
      <c r="ETU1" s="159"/>
      <c r="ETV1" s="159"/>
      <c r="ETW1" s="159"/>
      <c r="ETX1" s="159"/>
      <c r="ETY1" s="159"/>
      <c r="ETZ1" s="159"/>
      <c r="EUA1" s="159"/>
      <c r="EUB1" s="159"/>
      <c r="EUC1" s="159"/>
      <c r="EUD1" s="159"/>
      <c r="EUE1" s="159"/>
      <c r="EUF1" s="159"/>
      <c r="EUG1" s="159"/>
      <c r="EUH1" s="159"/>
      <c r="EUI1" s="159"/>
      <c r="EUJ1" s="159"/>
      <c r="EVU1" s="159"/>
      <c r="EWI1" s="159"/>
      <c r="EWJ1" s="159"/>
      <c r="EWK1" s="159"/>
      <c r="EWL1" s="159"/>
      <c r="EWM1" s="159"/>
      <c r="EWN1" s="159"/>
      <c r="EWO1" s="159"/>
      <c r="EWP1" s="159"/>
      <c r="EWQ1" s="159"/>
      <c r="EWR1" s="159"/>
      <c r="EWS1" s="159"/>
      <c r="EWT1" s="159"/>
      <c r="EWU1" s="159"/>
      <c r="EWV1" s="159"/>
      <c r="EWW1" s="159"/>
      <c r="EWX1" s="159"/>
      <c r="EWY1" s="159"/>
      <c r="EWZ1" s="159"/>
      <c r="EXA1" s="159"/>
      <c r="EXB1" s="159"/>
      <c r="EXC1" s="159"/>
      <c r="EXD1" s="159"/>
      <c r="EXE1" s="159"/>
      <c r="EXF1" s="159"/>
      <c r="EXG1" s="159"/>
      <c r="EXH1" s="159"/>
      <c r="EXI1" s="159"/>
      <c r="EXJ1" s="159"/>
      <c r="EXK1" s="159"/>
      <c r="EXL1" s="159"/>
      <c r="EXM1" s="159"/>
      <c r="EXN1" s="159"/>
      <c r="EXO1" s="159"/>
      <c r="EXP1" s="159"/>
      <c r="EXQ1" s="159"/>
      <c r="EXR1" s="159"/>
      <c r="EXS1" s="159"/>
      <c r="EXT1" s="159"/>
      <c r="EXU1" s="159"/>
      <c r="EXV1" s="159"/>
      <c r="EXW1" s="159"/>
      <c r="EXX1" s="159"/>
      <c r="EXY1" s="159"/>
      <c r="EXZ1" s="159"/>
      <c r="EYA1" s="159"/>
      <c r="EYB1" s="159"/>
      <c r="EYC1" s="159"/>
      <c r="EYD1" s="159"/>
      <c r="EYE1" s="159"/>
      <c r="EYF1" s="159"/>
      <c r="EYG1" s="159"/>
      <c r="EYH1" s="159"/>
      <c r="EYI1" s="159"/>
      <c r="EYJ1" s="159"/>
      <c r="EYK1" s="159"/>
      <c r="EYL1" s="159"/>
      <c r="EYM1" s="159"/>
      <c r="EYN1" s="159"/>
      <c r="EYO1" s="159"/>
      <c r="EYP1" s="159"/>
      <c r="EYQ1" s="159"/>
      <c r="EYR1" s="159"/>
      <c r="EYS1" s="159"/>
      <c r="EYT1" s="159"/>
      <c r="EYU1" s="159"/>
      <c r="EYV1" s="159"/>
      <c r="EYW1" s="159"/>
      <c r="EYX1" s="159"/>
      <c r="EYY1" s="159"/>
      <c r="EYZ1" s="159"/>
      <c r="EZA1" s="159"/>
      <c r="EZB1" s="159"/>
      <c r="EZC1" s="159"/>
      <c r="EZD1" s="159"/>
      <c r="EZE1" s="159"/>
      <c r="EZF1" s="159"/>
      <c r="EZG1" s="159"/>
      <c r="EZH1" s="159"/>
      <c r="EZI1" s="159"/>
      <c r="EZJ1" s="159"/>
      <c r="EZK1" s="159"/>
      <c r="EZL1" s="159"/>
      <c r="EZM1" s="159"/>
      <c r="EZN1" s="159"/>
      <c r="EZO1" s="159"/>
      <c r="EZP1" s="159"/>
      <c r="EZQ1" s="159"/>
      <c r="EZR1" s="159"/>
      <c r="EZS1" s="159"/>
      <c r="EZT1" s="159"/>
      <c r="EZU1" s="159"/>
      <c r="EZV1" s="159"/>
      <c r="EZW1" s="159"/>
      <c r="EZX1" s="159"/>
      <c r="EZY1" s="159"/>
      <c r="EZZ1" s="159"/>
      <c r="FAA1" s="159"/>
      <c r="FAB1" s="159"/>
      <c r="FAC1" s="159"/>
      <c r="FAD1" s="159"/>
      <c r="FAE1" s="159"/>
      <c r="FAF1" s="159"/>
      <c r="FAG1" s="159"/>
      <c r="FAH1" s="159"/>
      <c r="FAI1" s="159"/>
      <c r="FAJ1" s="159"/>
      <c r="FAK1" s="159"/>
      <c r="FAL1" s="159"/>
      <c r="FAM1" s="159"/>
      <c r="FAN1" s="159"/>
      <c r="FAO1" s="159"/>
      <c r="FAP1" s="159"/>
      <c r="FAQ1" s="159"/>
      <c r="FAR1" s="159"/>
      <c r="FAS1" s="159"/>
      <c r="FAT1" s="159"/>
      <c r="FAU1" s="159"/>
      <c r="FAV1" s="159"/>
      <c r="FAW1" s="159"/>
      <c r="FAX1" s="159"/>
      <c r="FAY1" s="159"/>
      <c r="FAZ1" s="159"/>
      <c r="FBA1" s="159"/>
      <c r="FBB1" s="159"/>
      <c r="FBC1" s="159"/>
      <c r="FBD1" s="159"/>
      <c r="FBE1" s="159"/>
      <c r="FBF1" s="159"/>
      <c r="FBG1" s="159"/>
      <c r="FBH1" s="159"/>
      <c r="FBI1" s="159"/>
      <c r="FBJ1" s="159"/>
      <c r="FBK1" s="159"/>
      <c r="FBL1" s="159"/>
      <c r="FBM1" s="159"/>
      <c r="FBN1" s="159"/>
      <c r="FBO1" s="159"/>
      <c r="FBP1" s="159"/>
      <c r="FBQ1" s="159"/>
      <c r="FBR1" s="159"/>
      <c r="FBS1" s="159"/>
      <c r="FBT1" s="159"/>
      <c r="FBU1" s="159"/>
      <c r="FBV1" s="159"/>
      <c r="FBW1" s="159"/>
      <c r="FBX1" s="159"/>
      <c r="FBY1" s="159"/>
      <c r="FBZ1" s="159"/>
      <c r="FCA1" s="159"/>
      <c r="FCB1" s="159"/>
      <c r="FCC1" s="159"/>
      <c r="FCD1" s="159"/>
      <c r="FCE1" s="159"/>
      <c r="FCF1" s="159"/>
      <c r="FCG1" s="159"/>
      <c r="FCH1" s="159"/>
      <c r="FCI1" s="159"/>
      <c r="FCJ1" s="159"/>
      <c r="FCK1" s="159"/>
      <c r="FCL1" s="159"/>
      <c r="FCM1" s="159"/>
      <c r="FCN1" s="159"/>
      <c r="FCO1" s="159"/>
      <c r="FCP1" s="159"/>
      <c r="FCQ1" s="159"/>
      <c r="FCR1" s="159"/>
      <c r="FCS1" s="159"/>
      <c r="FCT1" s="159"/>
      <c r="FCU1" s="159"/>
      <c r="FCV1" s="159"/>
      <c r="FCW1" s="159"/>
      <c r="FCX1" s="159"/>
      <c r="FCY1" s="159"/>
      <c r="FCZ1" s="159"/>
      <c r="FDA1" s="159"/>
      <c r="FDB1" s="159"/>
      <c r="FDC1" s="159"/>
      <c r="FDD1" s="159"/>
      <c r="FDE1" s="159"/>
      <c r="FDF1" s="159"/>
      <c r="FDG1" s="159"/>
      <c r="FDH1" s="159"/>
      <c r="FDI1" s="159"/>
      <c r="FDJ1" s="159"/>
      <c r="FDK1" s="159"/>
      <c r="FDL1" s="159"/>
      <c r="FDM1" s="159"/>
      <c r="FDN1" s="159"/>
      <c r="FDO1" s="159"/>
      <c r="FDP1" s="159"/>
      <c r="FDQ1" s="159"/>
      <c r="FDR1" s="159"/>
      <c r="FDS1" s="159"/>
      <c r="FDT1" s="159"/>
      <c r="FDU1" s="159"/>
      <c r="FDV1" s="159"/>
      <c r="FDW1" s="159"/>
      <c r="FDX1" s="159"/>
      <c r="FDY1" s="159"/>
      <c r="FDZ1" s="159"/>
      <c r="FEA1" s="159"/>
      <c r="FEB1" s="159"/>
      <c r="FEC1" s="159"/>
      <c r="FED1" s="159"/>
      <c r="FEE1" s="159"/>
      <c r="FEF1" s="159"/>
      <c r="FFQ1" s="159"/>
      <c r="FGE1" s="159"/>
      <c r="FGF1" s="159"/>
      <c r="FGG1" s="159"/>
      <c r="FGH1" s="159"/>
      <c r="FGI1" s="159"/>
      <c r="FGJ1" s="159"/>
      <c r="FGK1" s="159"/>
      <c r="FGL1" s="159"/>
      <c r="FGM1" s="159"/>
      <c r="FGN1" s="159"/>
      <c r="FGO1" s="159"/>
      <c r="FGP1" s="159"/>
      <c r="FGQ1" s="159"/>
      <c r="FGR1" s="159"/>
      <c r="FGS1" s="159"/>
      <c r="FGT1" s="159"/>
      <c r="FGU1" s="159"/>
      <c r="FGV1" s="159"/>
      <c r="FGW1" s="159"/>
      <c r="FGX1" s="159"/>
      <c r="FGY1" s="159"/>
      <c r="FGZ1" s="159"/>
      <c r="FHA1" s="159"/>
      <c r="FHB1" s="159"/>
      <c r="FHC1" s="159"/>
      <c r="FHD1" s="159"/>
      <c r="FHE1" s="159"/>
      <c r="FHF1" s="159"/>
      <c r="FHG1" s="159"/>
      <c r="FHH1" s="159"/>
      <c r="FHI1" s="159"/>
      <c r="FHJ1" s="159"/>
      <c r="FHK1" s="159"/>
      <c r="FHL1" s="159"/>
      <c r="FHM1" s="159"/>
      <c r="FHN1" s="159"/>
      <c r="FHO1" s="159"/>
      <c r="FHP1" s="159"/>
      <c r="FHQ1" s="159"/>
      <c r="FHR1" s="159"/>
      <c r="FHS1" s="159"/>
      <c r="FHT1" s="159"/>
      <c r="FHU1" s="159"/>
      <c r="FHV1" s="159"/>
      <c r="FHW1" s="159"/>
      <c r="FHX1" s="159"/>
      <c r="FHY1" s="159"/>
      <c r="FHZ1" s="159"/>
      <c r="FIA1" s="159"/>
      <c r="FIB1" s="159"/>
      <c r="FIC1" s="159"/>
      <c r="FID1" s="159"/>
      <c r="FIE1" s="159"/>
      <c r="FIF1" s="159"/>
      <c r="FIG1" s="159"/>
      <c r="FIH1" s="159"/>
      <c r="FII1" s="159"/>
      <c r="FIJ1" s="159"/>
      <c r="FIK1" s="159"/>
      <c r="FIL1" s="159"/>
      <c r="FIM1" s="159"/>
      <c r="FIN1" s="159"/>
      <c r="FIO1" s="159"/>
      <c r="FIP1" s="159"/>
      <c r="FIQ1" s="159"/>
      <c r="FIR1" s="159"/>
      <c r="FIS1" s="159"/>
      <c r="FIT1" s="159"/>
      <c r="FIU1" s="159"/>
      <c r="FIV1" s="159"/>
      <c r="FIW1" s="159"/>
      <c r="FIX1" s="159"/>
      <c r="FIY1" s="159"/>
      <c r="FIZ1" s="159"/>
      <c r="FJA1" s="159"/>
      <c r="FJB1" s="159"/>
      <c r="FJC1" s="159"/>
      <c r="FJD1" s="159"/>
      <c r="FJE1" s="159"/>
      <c r="FJF1" s="159"/>
      <c r="FJG1" s="159"/>
      <c r="FJH1" s="159"/>
      <c r="FJI1" s="159"/>
      <c r="FJJ1" s="159"/>
      <c r="FJK1" s="159"/>
      <c r="FJL1" s="159"/>
      <c r="FJM1" s="159"/>
      <c r="FJN1" s="159"/>
      <c r="FJO1" s="159"/>
      <c r="FJP1" s="159"/>
      <c r="FJQ1" s="159"/>
      <c r="FJR1" s="159"/>
      <c r="FJS1" s="159"/>
      <c r="FJT1" s="159"/>
      <c r="FJU1" s="159"/>
      <c r="FJV1" s="159"/>
      <c r="FJW1" s="159"/>
      <c r="FJX1" s="159"/>
      <c r="FJY1" s="159"/>
      <c r="FJZ1" s="159"/>
      <c r="FKA1" s="159"/>
      <c r="FKB1" s="159"/>
      <c r="FKC1" s="159"/>
      <c r="FKD1" s="159"/>
      <c r="FKE1" s="159"/>
      <c r="FKF1" s="159"/>
      <c r="FKG1" s="159"/>
      <c r="FKH1" s="159"/>
      <c r="FKI1" s="159"/>
      <c r="FKJ1" s="159"/>
      <c r="FKK1" s="159"/>
      <c r="FKL1" s="159"/>
      <c r="FKM1" s="159"/>
      <c r="FKN1" s="159"/>
      <c r="FKO1" s="159"/>
      <c r="FKP1" s="159"/>
      <c r="FKQ1" s="159"/>
      <c r="FKR1" s="159"/>
      <c r="FKS1" s="159"/>
      <c r="FKT1" s="159"/>
      <c r="FKU1" s="159"/>
      <c r="FKV1" s="159"/>
      <c r="FKW1" s="159"/>
      <c r="FKX1" s="159"/>
      <c r="FKY1" s="159"/>
      <c r="FKZ1" s="159"/>
      <c r="FLA1" s="159"/>
      <c r="FLB1" s="159"/>
      <c r="FLC1" s="159"/>
      <c r="FLD1" s="159"/>
      <c r="FLE1" s="159"/>
      <c r="FLF1" s="159"/>
      <c r="FLG1" s="159"/>
      <c r="FLH1" s="159"/>
      <c r="FLI1" s="159"/>
      <c r="FLJ1" s="159"/>
      <c r="FLK1" s="159"/>
      <c r="FLL1" s="159"/>
      <c r="FLM1" s="159"/>
      <c r="FLN1" s="159"/>
      <c r="FLO1" s="159"/>
      <c r="FLP1" s="159"/>
      <c r="FLQ1" s="159"/>
      <c r="FLR1" s="159"/>
      <c r="FLS1" s="159"/>
      <c r="FLT1" s="159"/>
      <c r="FLU1" s="159"/>
      <c r="FLV1" s="159"/>
      <c r="FLW1" s="159"/>
      <c r="FLX1" s="159"/>
      <c r="FLY1" s="159"/>
      <c r="FLZ1" s="159"/>
      <c r="FMA1" s="159"/>
      <c r="FMB1" s="159"/>
      <c r="FMC1" s="159"/>
      <c r="FMD1" s="159"/>
      <c r="FME1" s="159"/>
      <c r="FMF1" s="159"/>
      <c r="FMG1" s="159"/>
      <c r="FMH1" s="159"/>
      <c r="FMI1" s="159"/>
      <c r="FMJ1" s="159"/>
      <c r="FMK1" s="159"/>
      <c r="FML1" s="159"/>
      <c r="FMM1" s="159"/>
      <c r="FMN1" s="159"/>
      <c r="FMO1" s="159"/>
      <c r="FMP1" s="159"/>
      <c r="FMQ1" s="159"/>
      <c r="FMR1" s="159"/>
      <c r="FMS1" s="159"/>
      <c r="FMT1" s="159"/>
      <c r="FMU1" s="159"/>
      <c r="FMV1" s="159"/>
      <c r="FMW1" s="159"/>
      <c r="FMX1" s="159"/>
      <c r="FMY1" s="159"/>
      <c r="FMZ1" s="159"/>
      <c r="FNA1" s="159"/>
      <c r="FNB1" s="159"/>
      <c r="FNC1" s="159"/>
      <c r="FND1" s="159"/>
      <c r="FNE1" s="159"/>
      <c r="FNF1" s="159"/>
      <c r="FNG1" s="159"/>
      <c r="FNH1" s="159"/>
      <c r="FNI1" s="159"/>
      <c r="FNJ1" s="159"/>
      <c r="FNK1" s="159"/>
      <c r="FNL1" s="159"/>
      <c r="FNM1" s="159"/>
      <c r="FNN1" s="159"/>
      <c r="FNO1" s="159"/>
      <c r="FNP1" s="159"/>
      <c r="FNQ1" s="159"/>
      <c r="FNR1" s="159"/>
      <c r="FNS1" s="159"/>
      <c r="FNT1" s="159"/>
      <c r="FNU1" s="159"/>
      <c r="FNV1" s="159"/>
      <c r="FNW1" s="159"/>
      <c r="FNX1" s="159"/>
      <c r="FNY1" s="159"/>
      <c r="FNZ1" s="159"/>
      <c r="FOA1" s="159"/>
      <c r="FOB1" s="159"/>
      <c r="FPM1" s="159"/>
      <c r="FQA1" s="159"/>
      <c r="FQB1" s="159"/>
      <c r="FQC1" s="159"/>
      <c r="FQD1" s="159"/>
      <c r="FQE1" s="159"/>
      <c r="FQF1" s="159"/>
      <c r="FQG1" s="159"/>
      <c r="FQH1" s="159"/>
      <c r="FQI1" s="159"/>
      <c r="FQJ1" s="159"/>
      <c r="FQK1" s="159"/>
      <c r="FQL1" s="159"/>
      <c r="FQM1" s="159"/>
      <c r="FQN1" s="159"/>
      <c r="FQO1" s="159"/>
      <c r="FQP1" s="159"/>
      <c r="FQQ1" s="159"/>
      <c r="FQR1" s="159"/>
      <c r="FQS1" s="159"/>
      <c r="FQT1" s="159"/>
      <c r="FQU1" s="159"/>
      <c r="FQV1" s="159"/>
      <c r="FQW1" s="159"/>
      <c r="FQX1" s="159"/>
      <c r="FQY1" s="159"/>
      <c r="FQZ1" s="159"/>
      <c r="FRA1" s="159"/>
      <c r="FRB1" s="159"/>
      <c r="FRC1" s="159"/>
      <c r="FRD1" s="159"/>
      <c r="FRE1" s="159"/>
      <c r="FRF1" s="159"/>
      <c r="FRG1" s="159"/>
      <c r="FRH1" s="159"/>
      <c r="FRI1" s="159"/>
      <c r="FRJ1" s="159"/>
      <c r="FRK1" s="159"/>
      <c r="FRL1" s="159"/>
      <c r="FRM1" s="159"/>
      <c r="FRN1" s="159"/>
      <c r="FRO1" s="159"/>
      <c r="FRP1" s="159"/>
      <c r="FRQ1" s="159"/>
      <c r="FRR1" s="159"/>
      <c r="FRS1" s="159"/>
      <c r="FRT1" s="159"/>
      <c r="FRU1" s="159"/>
      <c r="FRV1" s="159"/>
      <c r="FRW1" s="159"/>
      <c r="FRX1" s="159"/>
      <c r="FRY1" s="159"/>
      <c r="FRZ1" s="159"/>
      <c r="FSA1" s="159"/>
      <c r="FSB1" s="159"/>
      <c r="FSC1" s="159"/>
      <c r="FSD1" s="159"/>
      <c r="FSE1" s="159"/>
      <c r="FSF1" s="159"/>
      <c r="FSG1" s="159"/>
      <c r="FSH1" s="159"/>
      <c r="FSI1" s="159"/>
      <c r="FSJ1" s="159"/>
      <c r="FSK1" s="159"/>
      <c r="FSL1" s="159"/>
      <c r="FSM1" s="159"/>
      <c r="FSN1" s="159"/>
      <c r="FSO1" s="159"/>
      <c r="FSP1" s="159"/>
      <c r="FSQ1" s="159"/>
      <c r="FSR1" s="159"/>
      <c r="FSS1" s="159"/>
      <c r="FST1" s="159"/>
      <c r="FSU1" s="159"/>
      <c r="FSV1" s="159"/>
      <c r="FSW1" s="159"/>
      <c r="FSX1" s="159"/>
      <c r="FSY1" s="159"/>
      <c r="FSZ1" s="159"/>
      <c r="FTA1" s="159"/>
      <c r="FTB1" s="159"/>
      <c r="FTC1" s="159"/>
      <c r="FTD1" s="159"/>
      <c r="FTE1" s="159"/>
      <c r="FTF1" s="159"/>
      <c r="FTG1" s="159"/>
      <c r="FTH1" s="159"/>
      <c r="FTI1" s="159"/>
      <c r="FTJ1" s="159"/>
      <c r="FTK1" s="159"/>
      <c r="FTL1" s="159"/>
      <c r="FTM1" s="159"/>
      <c r="FTN1" s="159"/>
      <c r="FTO1" s="159"/>
      <c r="FTP1" s="159"/>
      <c r="FTQ1" s="159"/>
      <c r="FTR1" s="159"/>
      <c r="FTS1" s="159"/>
      <c r="FTT1" s="159"/>
      <c r="FTU1" s="159"/>
      <c r="FTV1" s="159"/>
      <c r="FTW1" s="159"/>
      <c r="FTX1" s="159"/>
      <c r="FTY1" s="159"/>
      <c r="FTZ1" s="159"/>
      <c r="FUA1" s="159"/>
      <c r="FUB1" s="159"/>
      <c r="FUC1" s="159"/>
      <c r="FUD1" s="159"/>
      <c r="FUE1" s="159"/>
      <c r="FUF1" s="159"/>
      <c r="FUG1" s="159"/>
      <c r="FUH1" s="159"/>
      <c r="FUI1" s="159"/>
      <c r="FUJ1" s="159"/>
      <c r="FUK1" s="159"/>
      <c r="FUL1" s="159"/>
      <c r="FUM1" s="159"/>
      <c r="FUN1" s="159"/>
      <c r="FUO1" s="159"/>
      <c r="FUP1" s="159"/>
      <c r="FUQ1" s="159"/>
      <c r="FUR1" s="159"/>
      <c r="FUS1" s="159"/>
      <c r="FUT1" s="159"/>
      <c r="FUU1" s="159"/>
      <c r="FUV1" s="159"/>
      <c r="FUW1" s="159"/>
      <c r="FUX1" s="159"/>
      <c r="FUY1" s="159"/>
      <c r="FUZ1" s="159"/>
      <c r="FVA1" s="159"/>
      <c r="FVB1" s="159"/>
      <c r="FVC1" s="159"/>
      <c r="FVD1" s="159"/>
      <c r="FVE1" s="159"/>
      <c r="FVF1" s="159"/>
      <c r="FVG1" s="159"/>
      <c r="FVH1" s="159"/>
      <c r="FVI1" s="159"/>
      <c r="FVJ1" s="159"/>
      <c r="FVK1" s="159"/>
      <c r="FVL1" s="159"/>
      <c r="FVM1" s="159"/>
      <c r="FVN1" s="159"/>
      <c r="FVO1" s="159"/>
      <c r="FVP1" s="159"/>
      <c r="FVQ1" s="159"/>
      <c r="FVR1" s="159"/>
      <c r="FVS1" s="159"/>
      <c r="FVT1" s="159"/>
      <c r="FVU1" s="159"/>
      <c r="FVV1" s="159"/>
      <c r="FVW1" s="159"/>
      <c r="FVX1" s="159"/>
      <c r="FVY1" s="159"/>
      <c r="FVZ1" s="159"/>
      <c r="FWA1" s="159"/>
      <c r="FWB1" s="159"/>
      <c r="FWC1" s="159"/>
      <c r="FWD1" s="159"/>
      <c r="FWE1" s="159"/>
      <c r="FWF1" s="159"/>
      <c r="FWG1" s="159"/>
      <c r="FWH1" s="159"/>
      <c r="FWI1" s="159"/>
      <c r="FWJ1" s="159"/>
      <c r="FWK1" s="159"/>
      <c r="FWL1" s="159"/>
      <c r="FWM1" s="159"/>
      <c r="FWN1" s="159"/>
      <c r="FWO1" s="159"/>
      <c r="FWP1" s="159"/>
      <c r="FWQ1" s="159"/>
      <c r="FWR1" s="159"/>
      <c r="FWS1" s="159"/>
      <c r="FWT1" s="159"/>
      <c r="FWU1" s="159"/>
      <c r="FWV1" s="159"/>
      <c r="FWW1" s="159"/>
      <c r="FWX1" s="159"/>
      <c r="FWY1" s="159"/>
      <c r="FWZ1" s="159"/>
      <c r="FXA1" s="159"/>
      <c r="FXB1" s="159"/>
      <c r="FXC1" s="159"/>
      <c r="FXD1" s="159"/>
      <c r="FXE1" s="159"/>
      <c r="FXF1" s="159"/>
      <c r="FXG1" s="159"/>
      <c r="FXH1" s="159"/>
      <c r="FXI1" s="159"/>
      <c r="FXJ1" s="159"/>
      <c r="FXK1" s="159"/>
      <c r="FXL1" s="159"/>
      <c r="FXM1" s="159"/>
      <c r="FXN1" s="159"/>
      <c r="FXO1" s="159"/>
      <c r="FXP1" s="159"/>
      <c r="FXQ1" s="159"/>
      <c r="FXR1" s="159"/>
      <c r="FXS1" s="159"/>
      <c r="FXT1" s="159"/>
      <c r="FXU1" s="159"/>
      <c r="FXV1" s="159"/>
      <c r="FXW1" s="159"/>
      <c r="FXX1" s="159"/>
      <c r="FZI1" s="159"/>
      <c r="FZW1" s="159"/>
      <c r="FZX1" s="159"/>
      <c r="FZY1" s="159"/>
      <c r="FZZ1" s="159"/>
      <c r="GAA1" s="159"/>
      <c r="GAB1" s="159"/>
      <c r="GAC1" s="159"/>
      <c r="GAD1" s="159"/>
      <c r="GAE1" s="159"/>
      <c r="GAF1" s="159"/>
      <c r="GAG1" s="159"/>
      <c r="GAH1" s="159"/>
      <c r="GAI1" s="159"/>
      <c r="GAJ1" s="159"/>
      <c r="GAK1" s="159"/>
      <c r="GAL1" s="159"/>
      <c r="GAM1" s="159"/>
      <c r="GAN1" s="159"/>
      <c r="GAO1" s="159"/>
      <c r="GAP1" s="159"/>
      <c r="GAQ1" s="159"/>
      <c r="GAR1" s="159"/>
      <c r="GAS1" s="159"/>
      <c r="GAT1" s="159"/>
      <c r="GAU1" s="159"/>
      <c r="GAV1" s="159"/>
      <c r="GAW1" s="159"/>
      <c r="GAX1" s="159"/>
      <c r="GAY1" s="159"/>
      <c r="GAZ1" s="159"/>
      <c r="GBA1" s="159"/>
      <c r="GBB1" s="159"/>
      <c r="GBC1" s="159"/>
      <c r="GBD1" s="159"/>
      <c r="GBE1" s="159"/>
      <c r="GBF1" s="159"/>
      <c r="GBG1" s="159"/>
      <c r="GBH1" s="159"/>
      <c r="GBI1" s="159"/>
      <c r="GBJ1" s="159"/>
      <c r="GBK1" s="159"/>
      <c r="GBL1" s="159"/>
      <c r="GBM1" s="159"/>
      <c r="GBN1" s="159"/>
      <c r="GBO1" s="159"/>
      <c r="GBP1" s="159"/>
      <c r="GBQ1" s="159"/>
      <c r="GBR1" s="159"/>
      <c r="GBS1" s="159"/>
      <c r="GBT1" s="159"/>
      <c r="GBU1" s="159"/>
      <c r="GBV1" s="159"/>
      <c r="GBW1" s="159"/>
      <c r="GBX1" s="159"/>
      <c r="GBY1" s="159"/>
      <c r="GBZ1" s="159"/>
      <c r="GCA1" s="159"/>
      <c r="GCB1" s="159"/>
      <c r="GCC1" s="159"/>
      <c r="GCD1" s="159"/>
      <c r="GCE1" s="159"/>
      <c r="GCF1" s="159"/>
      <c r="GCG1" s="159"/>
      <c r="GCH1" s="159"/>
      <c r="GCI1" s="159"/>
      <c r="GCJ1" s="159"/>
      <c r="GCK1" s="159"/>
      <c r="GCL1" s="159"/>
      <c r="GCM1" s="159"/>
      <c r="GCN1" s="159"/>
      <c r="GCO1" s="159"/>
      <c r="GCP1" s="159"/>
      <c r="GCQ1" s="159"/>
      <c r="GCR1" s="159"/>
      <c r="GCS1" s="159"/>
      <c r="GCT1" s="159"/>
      <c r="GCU1" s="159"/>
      <c r="GCV1" s="159"/>
      <c r="GCW1" s="159"/>
      <c r="GCX1" s="159"/>
      <c r="GCY1" s="159"/>
      <c r="GCZ1" s="159"/>
      <c r="GDA1" s="159"/>
      <c r="GDB1" s="159"/>
      <c r="GDC1" s="159"/>
      <c r="GDD1" s="159"/>
      <c r="GDE1" s="159"/>
      <c r="GDF1" s="159"/>
      <c r="GDG1" s="159"/>
      <c r="GDH1" s="159"/>
      <c r="GDI1" s="159"/>
      <c r="GDJ1" s="159"/>
      <c r="GDK1" s="159"/>
      <c r="GDL1" s="159"/>
      <c r="GDM1" s="159"/>
      <c r="GDN1" s="159"/>
      <c r="GDO1" s="159"/>
      <c r="GDP1" s="159"/>
      <c r="GDQ1" s="159"/>
      <c r="GDR1" s="159"/>
      <c r="GDS1" s="159"/>
      <c r="GDT1" s="159"/>
      <c r="GDU1" s="159"/>
      <c r="GDV1" s="159"/>
      <c r="GDW1" s="159"/>
      <c r="GDX1" s="159"/>
      <c r="GDY1" s="159"/>
      <c r="GDZ1" s="159"/>
      <c r="GEA1" s="159"/>
      <c r="GEB1" s="159"/>
      <c r="GEC1" s="159"/>
      <c r="GED1" s="159"/>
      <c r="GEE1" s="159"/>
      <c r="GEF1" s="159"/>
      <c r="GEG1" s="159"/>
      <c r="GEH1" s="159"/>
      <c r="GEI1" s="159"/>
      <c r="GEJ1" s="159"/>
      <c r="GEK1" s="159"/>
      <c r="GEL1" s="159"/>
      <c r="GEM1" s="159"/>
      <c r="GEN1" s="159"/>
      <c r="GEO1" s="159"/>
      <c r="GEP1" s="159"/>
      <c r="GEQ1" s="159"/>
      <c r="GER1" s="159"/>
      <c r="GES1" s="159"/>
      <c r="GET1" s="159"/>
      <c r="GEU1" s="159"/>
      <c r="GEV1" s="159"/>
      <c r="GEW1" s="159"/>
      <c r="GEX1" s="159"/>
      <c r="GEY1" s="159"/>
      <c r="GEZ1" s="159"/>
      <c r="GFA1" s="159"/>
      <c r="GFB1" s="159"/>
      <c r="GFC1" s="159"/>
      <c r="GFD1" s="159"/>
      <c r="GFE1" s="159"/>
      <c r="GFF1" s="159"/>
      <c r="GFG1" s="159"/>
      <c r="GFH1" s="159"/>
      <c r="GFI1" s="159"/>
      <c r="GFJ1" s="159"/>
      <c r="GFK1" s="159"/>
      <c r="GFL1" s="159"/>
      <c r="GFM1" s="159"/>
      <c r="GFN1" s="159"/>
      <c r="GFO1" s="159"/>
      <c r="GFP1" s="159"/>
      <c r="GFQ1" s="159"/>
      <c r="GFR1" s="159"/>
      <c r="GFS1" s="159"/>
      <c r="GFT1" s="159"/>
      <c r="GFU1" s="159"/>
      <c r="GFV1" s="159"/>
      <c r="GFW1" s="159"/>
      <c r="GFX1" s="159"/>
      <c r="GFY1" s="159"/>
      <c r="GFZ1" s="159"/>
      <c r="GGA1" s="159"/>
      <c r="GGB1" s="159"/>
      <c r="GGC1" s="159"/>
      <c r="GGD1" s="159"/>
      <c r="GGE1" s="159"/>
      <c r="GGF1" s="159"/>
      <c r="GGG1" s="159"/>
      <c r="GGH1" s="159"/>
      <c r="GGI1" s="159"/>
      <c r="GGJ1" s="159"/>
      <c r="GGK1" s="159"/>
      <c r="GGL1" s="159"/>
      <c r="GGM1" s="159"/>
      <c r="GGN1" s="159"/>
      <c r="GGO1" s="159"/>
      <c r="GGP1" s="159"/>
      <c r="GGQ1" s="159"/>
      <c r="GGR1" s="159"/>
      <c r="GGS1" s="159"/>
      <c r="GGT1" s="159"/>
      <c r="GGU1" s="159"/>
      <c r="GGV1" s="159"/>
      <c r="GGW1" s="159"/>
      <c r="GGX1" s="159"/>
      <c r="GGY1" s="159"/>
      <c r="GGZ1" s="159"/>
      <c r="GHA1" s="159"/>
      <c r="GHB1" s="159"/>
      <c r="GHC1" s="159"/>
      <c r="GHD1" s="159"/>
      <c r="GHE1" s="159"/>
      <c r="GHF1" s="159"/>
      <c r="GHG1" s="159"/>
      <c r="GHH1" s="159"/>
      <c r="GHI1" s="159"/>
      <c r="GHJ1" s="159"/>
      <c r="GHK1" s="159"/>
      <c r="GHL1" s="159"/>
      <c r="GHM1" s="159"/>
      <c r="GHN1" s="159"/>
      <c r="GHO1" s="159"/>
      <c r="GHP1" s="159"/>
      <c r="GHQ1" s="159"/>
      <c r="GHR1" s="159"/>
      <c r="GHS1" s="159"/>
      <c r="GHT1" s="159"/>
      <c r="GJE1" s="159"/>
      <c r="GJS1" s="159"/>
      <c r="GJT1" s="159"/>
      <c r="GJU1" s="159"/>
      <c r="GJV1" s="159"/>
      <c r="GJW1" s="159"/>
      <c r="GJX1" s="159"/>
      <c r="GJY1" s="159"/>
      <c r="GJZ1" s="159"/>
      <c r="GKA1" s="159"/>
      <c r="GKB1" s="159"/>
      <c r="GKC1" s="159"/>
      <c r="GKD1" s="159"/>
      <c r="GKE1" s="159"/>
      <c r="GKF1" s="159"/>
      <c r="GKG1" s="159"/>
      <c r="GKH1" s="159"/>
      <c r="GKI1" s="159"/>
      <c r="GKJ1" s="159"/>
      <c r="GKK1" s="159"/>
      <c r="GKL1" s="159"/>
      <c r="GKM1" s="159"/>
      <c r="GKN1" s="159"/>
      <c r="GKO1" s="159"/>
      <c r="GKP1" s="159"/>
      <c r="GKQ1" s="159"/>
      <c r="GKR1" s="159"/>
      <c r="GKS1" s="159"/>
      <c r="GKT1" s="159"/>
      <c r="GKU1" s="159"/>
      <c r="GKV1" s="159"/>
      <c r="GKW1" s="159"/>
      <c r="GKX1" s="159"/>
      <c r="GKY1" s="159"/>
      <c r="GKZ1" s="159"/>
      <c r="GLA1" s="159"/>
      <c r="GLB1" s="159"/>
      <c r="GLC1" s="159"/>
      <c r="GLD1" s="159"/>
      <c r="GLE1" s="159"/>
      <c r="GLF1" s="159"/>
      <c r="GLG1" s="159"/>
      <c r="GLH1" s="159"/>
      <c r="GLI1" s="159"/>
      <c r="GLJ1" s="159"/>
      <c r="GLK1" s="159"/>
      <c r="GLL1" s="159"/>
      <c r="GLM1" s="159"/>
      <c r="GLN1" s="159"/>
      <c r="GLO1" s="159"/>
      <c r="GLP1" s="159"/>
      <c r="GLQ1" s="159"/>
      <c r="GLR1" s="159"/>
      <c r="GLS1" s="159"/>
      <c r="GLT1" s="159"/>
      <c r="GLU1" s="159"/>
      <c r="GLV1" s="159"/>
      <c r="GLW1" s="159"/>
      <c r="GLX1" s="159"/>
      <c r="GLY1" s="159"/>
      <c r="GLZ1" s="159"/>
      <c r="GMA1" s="159"/>
      <c r="GMB1" s="159"/>
      <c r="GMC1" s="159"/>
      <c r="GMD1" s="159"/>
      <c r="GME1" s="159"/>
      <c r="GMF1" s="159"/>
      <c r="GMG1" s="159"/>
      <c r="GMH1" s="159"/>
      <c r="GMI1" s="159"/>
      <c r="GMJ1" s="159"/>
      <c r="GMK1" s="159"/>
      <c r="GML1" s="159"/>
      <c r="GMM1" s="159"/>
      <c r="GMN1" s="159"/>
      <c r="GMO1" s="159"/>
      <c r="GMP1" s="159"/>
      <c r="GMQ1" s="159"/>
      <c r="GMR1" s="159"/>
      <c r="GMS1" s="159"/>
      <c r="GMT1" s="159"/>
      <c r="GMU1" s="159"/>
      <c r="GMV1" s="159"/>
      <c r="GMW1" s="159"/>
      <c r="GMX1" s="159"/>
      <c r="GMY1" s="159"/>
      <c r="GMZ1" s="159"/>
      <c r="GNA1" s="159"/>
      <c r="GNB1" s="159"/>
      <c r="GNC1" s="159"/>
      <c r="GND1" s="159"/>
      <c r="GNE1" s="159"/>
      <c r="GNF1" s="159"/>
      <c r="GNG1" s="159"/>
      <c r="GNH1" s="159"/>
      <c r="GNI1" s="159"/>
      <c r="GNJ1" s="159"/>
      <c r="GNK1" s="159"/>
      <c r="GNL1" s="159"/>
      <c r="GNM1" s="159"/>
      <c r="GNN1" s="159"/>
      <c r="GNO1" s="159"/>
      <c r="GNP1" s="159"/>
      <c r="GNQ1" s="159"/>
      <c r="GNR1" s="159"/>
      <c r="GNS1" s="159"/>
      <c r="GNT1" s="159"/>
      <c r="GNU1" s="159"/>
      <c r="GNV1" s="159"/>
      <c r="GNW1" s="159"/>
      <c r="GNX1" s="159"/>
      <c r="GNY1" s="159"/>
      <c r="GNZ1" s="159"/>
      <c r="GOA1" s="159"/>
      <c r="GOB1" s="159"/>
      <c r="GOC1" s="159"/>
      <c r="GOD1" s="159"/>
      <c r="GOE1" s="159"/>
      <c r="GOF1" s="159"/>
      <c r="GOG1" s="159"/>
      <c r="GOH1" s="159"/>
      <c r="GOI1" s="159"/>
      <c r="GOJ1" s="159"/>
      <c r="GOK1" s="159"/>
      <c r="GOL1" s="159"/>
      <c r="GOM1" s="159"/>
      <c r="GON1" s="159"/>
      <c r="GOO1" s="159"/>
      <c r="GOP1" s="159"/>
      <c r="GOQ1" s="159"/>
      <c r="GOR1" s="159"/>
      <c r="GOS1" s="159"/>
      <c r="GOT1" s="159"/>
      <c r="GOU1" s="159"/>
      <c r="GOV1" s="159"/>
      <c r="GOW1" s="159"/>
      <c r="GOX1" s="159"/>
      <c r="GOY1" s="159"/>
      <c r="GOZ1" s="159"/>
      <c r="GPA1" s="159"/>
      <c r="GPB1" s="159"/>
      <c r="GPC1" s="159"/>
      <c r="GPD1" s="159"/>
      <c r="GPE1" s="159"/>
      <c r="GPF1" s="159"/>
      <c r="GPG1" s="159"/>
      <c r="GPH1" s="159"/>
      <c r="GPI1" s="159"/>
      <c r="GPJ1" s="159"/>
      <c r="GPK1" s="159"/>
      <c r="GPL1" s="159"/>
      <c r="GPM1" s="159"/>
      <c r="GPN1" s="159"/>
      <c r="GPO1" s="159"/>
      <c r="GPP1" s="159"/>
      <c r="GPQ1" s="159"/>
      <c r="GPR1" s="159"/>
      <c r="GPS1" s="159"/>
      <c r="GPT1" s="159"/>
      <c r="GPU1" s="159"/>
      <c r="GPV1" s="159"/>
      <c r="GPW1" s="159"/>
      <c r="GPX1" s="159"/>
      <c r="GPY1" s="159"/>
      <c r="GPZ1" s="159"/>
      <c r="GQA1" s="159"/>
      <c r="GQB1" s="159"/>
      <c r="GQC1" s="159"/>
      <c r="GQD1" s="159"/>
      <c r="GQE1" s="159"/>
      <c r="GQF1" s="159"/>
      <c r="GQG1" s="159"/>
      <c r="GQH1" s="159"/>
      <c r="GQI1" s="159"/>
      <c r="GQJ1" s="159"/>
      <c r="GQK1" s="159"/>
      <c r="GQL1" s="159"/>
      <c r="GQM1" s="159"/>
      <c r="GQN1" s="159"/>
      <c r="GQO1" s="159"/>
      <c r="GQP1" s="159"/>
      <c r="GQQ1" s="159"/>
      <c r="GQR1" s="159"/>
      <c r="GQS1" s="159"/>
      <c r="GQT1" s="159"/>
      <c r="GQU1" s="159"/>
      <c r="GQV1" s="159"/>
      <c r="GQW1" s="159"/>
      <c r="GQX1" s="159"/>
      <c r="GQY1" s="159"/>
      <c r="GQZ1" s="159"/>
      <c r="GRA1" s="159"/>
      <c r="GRB1" s="159"/>
      <c r="GRC1" s="159"/>
      <c r="GRD1" s="159"/>
      <c r="GRE1" s="159"/>
      <c r="GRF1" s="159"/>
      <c r="GRG1" s="159"/>
      <c r="GRH1" s="159"/>
      <c r="GRI1" s="159"/>
      <c r="GRJ1" s="159"/>
      <c r="GRK1" s="159"/>
      <c r="GRL1" s="159"/>
      <c r="GRM1" s="159"/>
      <c r="GRN1" s="159"/>
      <c r="GRO1" s="159"/>
      <c r="GRP1" s="159"/>
      <c r="GTA1" s="159"/>
      <c r="GTO1" s="159"/>
      <c r="GTP1" s="159"/>
      <c r="GTQ1" s="159"/>
      <c r="GTR1" s="159"/>
      <c r="GTS1" s="159"/>
      <c r="GTT1" s="159"/>
      <c r="GTU1" s="159"/>
      <c r="GTV1" s="159"/>
      <c r="GTW1" s="159"/>
      <c r="GTX1" s="159"/>
      <c r="GTY1" s="159"/>
      <c r="GTZ1" s="159"/>
      <c r="GUA1" s="159"/>
      <c r="GUB1" s="159"/>
      <c r="GUC1" s="159"/>
      <c r="GUD1" s="159"/>
      <c r="GUE1" s="159"/>
      <c r="GUF1" s="159"/>
      <c r="GUG1" s="159"/>
      <c r="GUH1" s="159"/>
      <c r="GUI1" s="159"/>
      <c r="GUJ1" s="159"/>
      <c r="GUK1" s="159"/>
      <c r="GUL1" s="159"/>
      <c r="GUM1" s="159"/>
      <c r="GUN1" s="159"/>
      <c r="GUO1" s="159"/>
      <c r="GUP1" s="159"/>
      <c r="GUQ1" s="159"/>
      <c r="GUR1" s="159"/>
      <c r="GUS1" s="159"/>
      <c r="GUT1" s="159"/>
      <c r="GUU1" s="159"/>
      <c r="GUV1" s="159"/>
      <c r="GUW1" s="159"/>
      <c r="GUX1" s="159"/>
      <c r="GUY1" s="159"/>
      <c r="GUZ1" s="159"/>
      <c r="GVA1" s="159"/>
      <c r="GVB1" s="159"/>
      <c r="GVC1" s="159"/>
      <c r="GVD1" s="159"/>
      <c r="GVE1" s="159"/>
      <c r="GVF1" s="159"/>
      <c r="GVG1" s="159"/>
      <c r="GVH1" s="159"/>
      <c r="GVI1" s="159"/>
      <c r="GVJ1" s="159"/>
      <c r="GVK1" s="159"/>
      <c r="GVL1" s="159"/>
      <c r="GVM1" s="159"/>
      <c r="GVN1" s="159"/>
      <c r="GVO1" s="159"/>
      <c r="GVP1" s="159"/>
      <c r="GVQ1" s="159"/>
      <c r="GVR1" s="159"/>
      <c r="GVS1" s="159"/>
      <c r="GVT1" s="159"/>
      <c r="GVU1" s="159"/>
      <c r="GVV1" s="159"/>
      <c r="GVW1" s="159"/>
      <c r="GVX1" s="159"/>
      <c r="GVY1" s="159"/>
      <c r="GVZ1" s="159"/>
      <c r="GWA1" s="159"/>
      <c r="GWB1" s="159"/>
      <c r="GWC1" s="159"/>
      <c r="GWD1" s="159"/>
      <c r="GWE1" s="159"/>
      <c r="GWF1" s="159"/>
      <c r="GWG1" s="159"/>
      <c r="GWH1" s="159"/>
      <c r="GWI1" s="159"/>
      <c r="GWJ1" s="159"/>
      <c r="GWK1" s="159"/>
      <c r="GWL1" s="159"/>
      <c r="GWM1" s="159"/>
      <c r="GWN1" s="159"/>
      <c r="GWO1" s="159"/>
      <c r="GWP1" s="159"/>
      <c r="GWQ1" s="159"/>
      <c r="GWR1" s="159"/>
      <c r="GWS1" s="159"/>
      <c r="GWT1" s="159"/>
      <c r="GWU1" s="159"/>
      <c r="GWV1" s="159"/>
      <c r="GWW1" s="159"/>
      <c r="GWX1" s="159"/>
      <c r="GWY1" s="159"/>
      <c r="GWZ1" s="159"/>
      <c r="GXA1" s="159"/>
      <c r="GXB1" s="159"/>
      <c r="GXC1" s="159"/>
      <c r="GXD1" s="159"/>
      <c r="GXE1" s="159"/>
      <c r="GXF1" s="159"/>
      <c r="GXG1" s="159"/>
      <c r="GXH1" s="159"/>
      <c r="GXI1" s="159"/>
      <c r="GXJ1" s="159"/>
      <c r="GXK1" s="159"/>
      <c r="GXL1" s="159"/>
      <c r="GXM1" s="159"/>
      <c r="GXN1" s="159"/>
      <c r="GXO1" s="159"/>
      <c r="GXP1" s="159"/>
      <c r="GXQ1" s="159"/>
      <c r="GXR1" s="159"/>
      <c r="GXS1" s="159"/>
      <c r="GXT1" s="159"/>
      <c r="GXU1" s="159"/>
      <c r="GXV1" s="159"/>
      <c r="GXW1" s="159"/>
      <c r="GXX1" s="159"/>
      <c r="GXY1" s="159"/>
      <c r="GXZ1" s="159"/>
      <c r="GYA1" s="159"/>
      <c r="GYB1" s="159"/>
      <c r="GYC1" s="159"/>
      <c r="GYD1" s="159"/>
      <c r="GYE1" s="159"/>
      <c r="GYF1" s="159"/>
      <c r="GYG1" s="159"/>
      <c r="GYH1" s="159"/>
      <c r="GYI1" s="159"/>
      <c r="GYJ1" s="159"/>
      <c r="GYK1" s="159"/>
      <c r="GYL1" s="159"/>
      <c r="GYM1" s="159"/>
      <c r="GYN1" s="159"/>
      <c r="GYO1" s="159"/>
      <c r="GYP1" s="159"/>
      <c r="GYQ1" s="159"/>
      <c r="GYR1" s="159"/>
      <c r="GYS1" s="159"/>
      <c r="GYT1" s="159"/>
      <c r="GYU1" s="159"/>
      <c r="GYV1" s="159"/>
      <c r="GYW1" s="159"/>
      <c r="GYX1" s="159"/>
      <c r="GYY1" s="159"/>
      <c r="GYZ1" s="159"/>
      <c r="GZA1" s="159"/>
      <c r="GZB1" s="159"/>
      <c r="GZC1" s="159"/>
      <c r="GZD1" s="159"/>
      <c r="GZE1" s="159"/>
      <c r="GZF1" s="159"/>
      <c r="GZG1" s="159"/>
      <c r="GZH1" s="159"/>
      <c r="GZI1" s="159"/>
      <c r="GZJ1" s="159"/>
      <c r="GZK1" s="159"/>
      <c r="GZL1" s="159"/>
      <c r="GZM1" s="159"/>
      <c r="GZN1" s="159"/>
      <c r="GZO1" s="159"/>
      <c r="GZP1" s="159"/>
      <c r="GZQ1" s="159"/>
      <c r="GZR1" s="159"/>
      <c r="GZS1" s="159"/>
      <c r="GZT1" s="159"/>
      <c r="GZU1" s="159"/>
      <c r="GZV1" s="159"/>
      <c r="GZW1" s="159"/>
      <c r="GZX1" s="159"/>
      <c r="GZY1" s="159"/>
      <c r="GZZ1" s="159"/>
      <c r="HAA1" s="159"/>
      <c r="HAB1" s="159"/>
      <c r="HAC1" s="159"/>
      <c r="HAD1" s="159"/>
      <c r="HAE1" s="159"/>
      <c r="HAF1" s="159"/>
      <c r="HAG1" s="159"/>
      <c r="HAH1" s="159"/>
      <c r="HAI1" s="159"/>
      <c r="HAJ1" s="159"/>
      <c r="HAK1" s="159"/>
      <c r="HAL1" s="159"/>
      <c r="HAM1" s="159"/>
      <c r="HAN1" s="159"/>
      <c r="HAO1" s="159"/>
      <c r="HAP1" s="159"/>
      <c r="HAQ1" s="159"/>
      <c r="HAR1" s="159"/>
      <c r="HAS1" s="159"/>
      <c r="HAT1" s="159"/>
      <c r="HAU1" s="159"/>
      <c r="HAV1" s="159"/>
      <c r="HAW1" s="159"/>
      <c r="HAX1" s="159"/>
      <c r="HAY1" s="159"/>
      <c r="HAZ1" s="159"/>
      <c r="HBA1" s="159"/>
      <c r="HBB1" s="159"/>
      <c r="HBC1" s="159"/>
      <c r="HBD1" s="159"/>
      <c r="HBE1" s="159"/>
      <c r="HBF1" s="159"/>
      <c r="HBG1" s="159"/>
      <c r="HBH1" s="159"/>
      <c r="HBI1" s="159"/>
      <c r="HBJ1" s="159"/>
      <c r="HBK1" s="159"/>
      <c r="HBL1" s="159"/>
      <c r="HCW1" s="159"/>
      <c r="HDK1" s="159"/>
      <c r="HDL1" s="159"/>
      <c r="HDM1" s="159"/>
      <c r="HDN1" s="159"/>
      <c r="HDO1" s="159"/>
      <c r="HDP1" s="159"/>
      <c r="HDQ1" s="159"/>
      <c r="HDR1" s="159"/>
      <c r="HDS1" s="159"/>
      <c r="HDT1" s="159"/>
      <c r="HDU1" s="159"/>
      <c r="HDV1" s="159"/>
      <c r="HDW1" s="159"/>
      <c r="HDX1" s="159"/>
      <c r="HDY1" s="159"/>
      <c r="HDZ1" s="159"/>
      <c r="HEA1" s="159"/>
      <c r="HEB1" s="159"/>
      <c r="HEC1" s="159"/>
      <c r="HED1" s="159"/>
      <c r="HEE1" s="159"/>
      <c r="HEF1" s="159"/>
      <c r="HEG1" s="159"/>
      <c r="HEH1" s="159"/>
      <c r="HEI1" s="159"/>
      <c r="HEJ1" s="159"/>
      <c r="HEK1" s="159"/>
      <c r="HEL1" s="159"/>
      <c r="HEM1" s="159"/>
      <c r="HEN1" s="159"/>
      <c r="HEO1" s="159"/>
      <c r="HEP1" s="159"/>
      <c r="HEQ1" s="159"/>
      <c r="HER1" s="159"/>
      <c r="HES1" s="159"/>
      <c r="HET1" s="159"/>
      <c r="HEU1" s="159"/>
      <c r="HEV1" s="159"/>
      <c r="HEW1" s="159"/>
      <c r="HEX1" s="159"/>
      <c r="HEY1" s="159"/>
      <c r="HEZ1" s="159"/>
      <c r="HFA1" s="159"/>
      <c r="HFB1" s="159"/>
      <c r="HFC1" s="159"/>
      <c r="HFD1" s="159"/>
      <c r="HFE1" s="159"/>
      <c r="HFF1" s="159"/>
      <c r="HFG1" s="159"/>
      <c r="HFH1" s="159"/>
      <c r="HFI1" s="159"/>
      <c r="HFJ1" s="159"/>
      <c r="HFK1" s="159"/>
      <c r="HFL1" s="159"/>
      <c r="HFM1" s="159"/>
      <c r="HFN1" s="159"/>
      <c r="HFO1" s="159"/>
      <c r="HFP1" s="159"/>
      <c r="HFQ1" s="159"/>
      <c r="HFR1" s="159"/>
      <c r="HFS1" s="159"/>
      <c r="HFT1" s="159"/>
      <c r="HFU1" s="159"/>
      <c r="HFV1" s="159"/>
      <c r="HFW1" s="159"/>
      <c r="HFX1" s="159"/>
      <c r="HFY1" s="159"/>
      <c r="HFZ1" s="159"/>
      <c r="HGA1" s="159"/>
      <c r="HGB1" s="159"/>
      <c r="HGC1" s="159"/>
      <c r="HGD1" s="159"/>
      <c r="HGE1" s="159"/>
      <c r="HGF1" s="159"/>
      <c r="HGG1" s="159"/>
      <c r="HGH1" s="159"/>
      <c r="HGI1" s="159"/>
      <c r="HGJ1" s="159"/>
      <c r="HGK1" s="159"/>
      <c r="HGL1" s="159"/>
      <c r="HGM1" s="159"/>
      <c r="HGN1" s="159"/>
      <c r="HGO1" s="159"/>
      <c r="HGP1" s="159"/>
      <c r="HGQ1" s="159"/>
      <c r="HGR1" s="159"/>
      <c r="HGS1" s="159"/>
      <c r="HGT1" s="159"/>
      <c r="HGU1" s="159"/>
      <c r="HGV1" s="159"/>
      <c r="HGW1" s="159"/>
      <c r="HGX1" s="159"/>
      <c r="HGY1" s="159"/>
      <c r="HGZ1" s="159"/>
      <c r="HHA1" s="159"/>
      <c r="HHB1" s="159"/>
      <c r="HHC1" s="159"/>
      <c r="HHD1" s="159"/>
      <c r="HHE1" s="159"/>
      <c r="HHF1" s="159"/>
      <c r="HHG1" s="159"/>
      <c r="HHH1" s="159"/>
      <c r="HHI1" s="159"/>
      <c r="HHJ1" s="159"/>
      <c r="HHK1" s="159"/>
      <c r="HHL1" s="159"/>
      <c r="HHM1" s="159"/>
      <c r="HHN1" s="159"/>
      <c r="HHO1" s="159"/>
      <c r="HHP1" s="159"/>
      <c r="HHQ1" s="159"/>
      <c r="HHR1" s="159"/>
      <c r="HHS1" s="159"/>
      <c r="HHT1" s="159"/>
      <c r="HHU1" s="159"/>
      <c r="HHV1" s="159"/>
      <c r="HHW1" s="159"/>
      <c r="HHX1" s="159"/>
      <c r="HHY1" s="159"/>
      <c r="HHZ1" s="159"/>
      <c r="HIA1" s="159"/>
      <c r="HIB1" s="159"/>
      <c r="HIC1" s="159"/>
      <c r="HID1" s="159"/>
      <c r="HIE1" s="159"/>
      <c r="HIF1" s="159"/>
      <c r="HIG1" s="159"/>
      <c r="HIH1" s="159"/>
      <c r="HII1" s="159"/>
      <c r="HIJ1" s="159"/>
      <c r="HIK1" s="159"/>
      <c r="HIL1" s="159"/>
      <c r="HIM1" s="159"/>
      <c r="HIN1" s="159"/>
      <c r="HIO1" s="159"/>
      <c r="HIP1" s="159"/>
      <c r="HIQ1" s="159"/>
      <c r="HIR1" s="159"/>
      <c r="HIS1" s="159"/>
      <c r="HIT1" s="159"/>
      <c r="HIU1" s="159"/>
      <c r="HIV1" s="159"/>
      <c r="HIW1" s="159"/>
      <c r="HIX1" s="159"/>
      <c r="HIY1" s="159"/>
      <c r="HIZ1" s="159"/>
      <c r="HJA1" s="159"/>
      <c r="HJB1" s="159"/>
      <c r="HJC1" s="159"/>
      <c r="HJD1" s="159"/>
      <c r="HJE1" s="159"/>
      <c r="HJF1" s="159"/>
      <c r="HJG1" s="159"/>
      <c r="HJH1" s="159"/>
      <c r="HJI1" s="159"/>
      <c r="HJJ1" s="159"/>
      <c r="HJK1" s="159"/>
      <c r="HJL1" s="159"/>
      <c r="HJM1" s="159"/>
      <c r="HJN1" s="159"/>
      <c r="HJO1" s="159"/>
      <c r="HJP1" s="159"/>
      <c r="HJQ1" s="159"/>
      <c r="HJR1" s="159"/>
      <c r="HJS1" s="159"/>
      <c r="HJT1" s="159"/>
      <c r="HJU1" s="159"/>
      <c r="HJV1" s="159"/>
      <c r="HJW1" s="159"/>
      <c r="HJX1" s="159"/>
      <c r="HJY1" s="159"/>
      <c r="HJZ1" s="159"/>
      <c r="HKA1" s="159"/>
      <c r="HKB1" s="159"/>
      <c r="HKC1" s="159"/>
      <c r="HKD1" s="159"/>
      <c r="HKE1" s="159"/>
      <c r="HKF1" s="159"/>
      <c r="HKG1" s="159"/>
      <c r="HKH1" s="159"/>
      <c r="HKI1" s="159"/>
      <c r="HKJ1" s="159"/>
      <c r="HKK1" s="159"/>
      <c r="HKL1" s="159"/>
      <c r="HKM1" s="159"/>
      <c r="HKN1" s="159"/>
      <c r="HKO1" s="159"/>
      <c r="HKP1" s="159"/>
      <c r="HKQ1" s="159"/>
      <c r="HKR1" s="159"/>
      <c r="HKS1" s="159"/>
      <c r="HKT1" s="159"/>
      <c r="HKU1" s="159"/>
      <c r="HKV1" s="159"/>
      <c r="HKW1" s="159"/>
      <c r="HKX1" s="159"/>
      <c r="HKY1" s="159"/>
      <c r="HKZ1" s="159"/>
      <c r="HLA1" s="159"/>
      <c r="HLB1" s="159"/>
      <c r="HLC1" s="159"/>
      <c r="HLD1" s="159"/>
      <c r="HLE1" s="159"/>
      <c r="HLF1" s="159"/>
      <c r="HLG1" s="159"/>
      <c r="HLH1" s="159"/>
      <c r="HMS1" s="159"/>
      <c r="HNG1" s="159"/>
      <c r="HNH1" s="159"/>
      <c r="HNI1" s="159"/>
      <c r="HNJ1" s="159"/>
      <c r="HNK1" s="159"/>
      <c r="HNL1" s="159"/>
      <c r="HNM1" s="159"/>
      <c r="HNN1" s="159"/>
      <c r="HNO1" s="159"/>
      <c r="HNP1" s="159"/>
      <c r="HNQ1" s="159"/>
      <c r="HNR1" s="159"/>
      <c r="HNS1" s="159"/>
      <c r="HNT1" s="159"/>
      <c r="HNU1" s="159"/>
      <c r="HNV1" s="159"/>
      <c r="HNW1" s="159"/>
      <c r="HNX1" s="159"/>
      <c r="HNY1" s="159"/>
      <c r="HNZ1" s="159"/>
      <c r="HOA1" s="159"/>
      <c r="HOB1" s="159"/>
      <c r="HOC1" s="159"/>
      <c r="HOD1" s="159"/>
      <c r="HOE1" s="159"/>
      <c r="HOF1" s="159"/>
      <c r="HOG1" s="159"/>
      <c r="HOH1" s="159"/>
      <c r="HOI1" s="159"/>
      <c r="HOJ1" s="159"/>
      <c r="HOK1" s="159"/>
      <c r="HOL1" s="159"/>
      <c r="HOM1" s="159"/>
      <c r="HON1" s="159"/>
      <c r="HOO1" s="159"/>
      <c r="HOP1" s="159"/>
      <c r="HOQ1" s="159"/>
      <c r="HOR1" s="159"/>
      <c r="HOS1" s="159"/>
      <c r="HOT1" s="159"/>
      <c r="HOU1" s="159"/>
      <c r="HOV1" s="159"/>
      <c r="HOW1" s="159"/>
      <c r="HOX1" s="159"/>
      <c r="HOY1" s="159"/>
      <c r="HOZ1" s="159"/>
      <c r="HPA1" s="159"/>
      <c r="HPB1" s="159"/>
      <c r="HPC1" s="159"/>
      <c r="HPD1" s="159"/>
      <c r="HPE1" s="159"/>
      <c r="HPF1" s="159"/>
      <c r="HPG1" s="159"/>
      <c r="HPH1" s="159"/>
      <c r="HPI1" s="159"/>
      <c r="HPJ1" s="159"/>
      <c r="HPK1" s="159"/>
      <c r="HPL1" s="159"/>
      <c r="HPM1" s="159"/>
      <c r="HPN1" s="159"/>
      <c r="HPO1" s="159"/>
      <c r="HPP1" s="159"/>
      <c r="HPQ1" s="159"/>
      <c r="HPR1" s="159"/>
      <c r="HPS1" s="159"/>
      <c r="HPT1" s="159"/>
      <c r="HPU1" s="159"/>
      <c r="HPV1" s="159"/>
      <c r="HPW1" s="159"/>
      <c r="HPX1" s="159"/>
      <c r="HPY1" s="159"/>
      <c r="HPZ1" s="159"/>
      <c r="HQA1" s="159"/>
      <c r="HQB1" s="159"/>
      <c r="HQC1" s="159"/>
      <c r="HQD1" s="159"/>
      <c r="HQE1" s="159"/>
      <c r="HQF1" s="159"/>
      <c r="HQG1" s="159"/>
      <c r="HQH1" s="159"/>
      <c r="HQI1" s="159"/>
      <c r="HQJ1" s="159"/>
      <c r="HQK1" s="159"/>
      <c r="HQL1" s="159"/>
      <c r="HQM1" s="159"/>
      <c r="HQN1" s="159"/>
      <c r="HQO1" s="159"/>
      <c r="HQP1" s="159"/>
      <c r="HQQ1" s="159"/>
      <c r="HQR1" s="159"/>
      <c r="HQS1" s="159"/>
      <c r="HQT1" s="159"/>
      <c r="HQU1" s="159"/>
      <c r="HQV1" s="159"/>
      <c r="HQW1" s="159"/>
      <c r="HQX1" s="159"/>
      <c r="HQY1" s="159"/>
      <c r="HQZ1" s="159"/>
      <c r="HRA1" s="159"/>
      <c r="HRB1" s="159"/>
      <c r="HRC1" s="159"/>
      <c r="HRD1" s="159"/>
      <c r="HRE1" s="159"/>
      <c r="HRF1" s="159"/>
      <c r="HRG1" s="159"/>
      <c r="HRH1" s="159"/>
      <c r="HRI1" s="159"/>
      <c r="HRJ1" s="159"/>
      <c r="HRK1" s="159"/>
      <c r="HRL1" s="159"/>
      <c r="HRM1" s="159"/>
      <c r="HRN1" s="159"/>
      <c r="HRO1" s="159"/>
      <c r="HRP1" s="159"/>
      <c r="HRQ1" s="159"/>
      <c r="HRR1" s="159"/>
      <c r="HRS1" s="159"/>
      <c r="HRT1" s="159"/>
      <c r="HRU1" s="159"/>
      <c r="HRV1" s="159"/>
      <c r="HRW1" s="159"/>
      <c r="HRX1" s="159"/>
      <c r="HRY1" s="159"/>
      <c r="HRZ1" s="159"/>
      <c r="HSA1" s="159"/>
      <c r="HSB1" s="159"/>
      <c r="HSC1" s="159"/>
      <c r="HSD1" s="159"/>
      <c r="HSE1" s="159"/>
      <c r="HSF1" s="159"/>
      <c r="HSG1" s="159"/>
      <c r="HSH1" s="159"/>
      <c r="HSI1" s="159"/>
      <c r="HSJ1" s="159"/>
      <c r="HSK1" s="159"/>
      <c r="HSL1" s="159"/>
      <c r="HSM1" s="159"/>
      <c r="HSN1" s="159"/>
      <c r="HSO1" s="159"/>
      <c r="HSP1" s="159"/>
      <c r="HSQ1" s="159"/>
      <c r="HSR1" s="159"/>
      <c r="HSS1" s="159"/>
      <c r="HST1" s="159"/>
      <c r="HSU1" s="159"/>
      <c r="HSV1" s="159"/>
      <c r="HSW1" s="159"/>
      <c r="HSX1" s="159"/>
      <c r="HSY1" s="159"/>
      <c r="HSZ1" s="159"/>
      <c r="HTA1" s="159"/>
      <c r="HTB1" s="159"/>
      <c r="HTC1" s="159"/>
      <c r="HTD1" s="159"/>
      <c r="HTE1" s="159"/>
      <c r="HTF1" s="159"/>
      <c r="HTG1" s="159"/>
      <c r="HTH1" s="159"/>
      <c r="HTI1" s="159"/>
      <c r="HTJ1" s="159"/>
      <c r="HTK1" s="159"/>
      <c r="HTL1" s="159"/>
      <c r="HTM1" s="159"/>
      <c r="HTN1" s="159"/>
      <c r="HTO1" s="159"/>
      <c r="HTP1" s="159"/>
      <c r="HTQ1" s="159"/>
      <c r="HTR1" s="159"/>
      <c r="HTS1" s="159"/>
      <c r="HTT1" s="159"/>
      <c r="HTU1" s="159"/>
      <c r="HTV1" s="159"/>
      <c r="HTW1" s="159"/>
      <c r="HTX1" s="159"/>
      <c r="HTY1" s="159"/>
      <c r="HTZ1" s="159"/>
      <c r="HUA1" s="159"/>
      <c r="HUB1" s="159"/>
      <c r="HUC1" s="159"/>
      <c r="HUD1" s="159"/>
      <c r="HUE1" s="159"/>
      <c r="HUF1" s="159"/>
      <c r="HUG1" s="159"/>
      <c r="HUH1" s="159"/>
      <c r="HUI1" s="159"/>
      <c r="HUJ1" s="159"/>
      <c r="HUK1" s="159"/>
      <c r="HUL1" s="159"/>
      <c r="HUM1" s="159"/>
      <c r="HUN1" s="159"/>
      <c r="HUO1" s="159"/>
      <c r="HUP1" s="159"/>
      <c r="HUQ1" s="159"/>
      <c r="HUR1" s="159"/>
      <c r="HUS1" s="159"/>
      <c r="HUT1" s="159"/>
      <c r="HUU1" s="159"/>
      <c r="HUV1" s="159"/>
      <c r="HUW1" s="159"/>
      <c r="HUX1" s="159"/>
      <c r="HUY1" s="159"/>
      <c r="HUZ1" s="159"/>
      <c r="HVA1" s="159"/>
      <c r="HVB1" s="159"/>
      <c r="HVC1" s="159"/>
      <c r="HVD1" s="159"/>
      <c r="HWO1" s="159"/>
      <c r="HXC1" s="159"/>
      <c r="HXD1" s="159"/>
      <c r="HXE1" s="159"/>
      <c r="HXF1" s="159"/>
      <c r="HXG1" s="159"/>
      <c r="HXH1" s="159"/>
      <c r="HXI1" s="159"/>
      <c r="HXJ1" s="159"/>
      <c r="HXK1" s="159"/>
      <c r="HXL1" s="159"/>
      <c r="HXM1" s="159"/>
      <c r="HXN1" s="159"/>
      <c r="HXO1" s="159"/>
      <c r="HXP1" s="159"/>
      <c r="HXQ1" s="159"/>
      <c r="HXR1" s="159"/>
      <c r="HXS1" s="159"/>
      <c r="HXT1" s="159"/>
      <c r="HXU1" s="159"/>
      <c r="HXV1" s="159"/>
      <c r="HXW1" s="159"/>
      <c r="HXX1" s="159"/>
      <c r="HXY1" s="159"/>
      <c r="HXZ1" s="159"/>
      <c r="HYA1" s="159"/>
      <c r="HYB1" s="159"/>
      <c r="HYC1" s="159"/>
      <c r="HYD1" s="159"/>
      <c r="HYE1" s="159"/>
      <c r="HYF1" s="159"/>
      <c r="HYG1" s="159"/>
      <c r="HYH1" s="159"/>
      <c r="HYI1" s="159"/>
      <c r="HYJ1" s="159"/>
      <c r="HYK1" s="159"/>
      <c r="HYL1" s="159"/>
      <c r="HYM1" s="159"/>
      <c r="HYN1" s="159"/>
      <c r="HYO1" s="159"/>
      <c r="HYP1" s="159"/>
      <c r="HYQ1" s="159"/>
      <c r="HYR1" s="159"/>
      <c r="HYS1" s="159"/>
      <c r="HYT1" s="159"/>
      <c r="HYU1" s="159"/>
      <c r="HYV1" s="159"/>
      <c r="HYW1" s="159"/>
      <c r="HYX1" s="159"/>
      <c r="HYY1" s="159"/>
      <c r="HYZ1" s="159"/>
      <c r="HZA1" s="159"/>
      <c r="HZB1" s="159"/>
      <c r="HZC1" s="159"/>
      <c r="HZD1" s="159"/>
      <c r="HZE1" s="159"/>
      <c r="HZF1" s="159"/>
      <c r="HZG1" s="159"/>
      <c r="HZH1" s="159"/>
      <c r="HZI1" s="159"/>
      <c r="HZJ1" s="159"/>
      <c r="HZK1" s="159"/>
      <c r="HZL1" s="159"/>
      <c r="HZM1" s="159"/>
      <c r="HZN1" s="159"/>
      <c r="HZO1" s="159"/>
      <c r="HZP1" s="159"/>
      <c r="HZQ1" s="159"/>
      <c r="HZR1" s="159"/>
      <c r="HZS1" s="159"/>
      <c r="HZT1" s="159"/>
      <c r="HZU1" s="159"/>
      <c r="HZV1" s="159"/>
      <c r="HZW1" s="159"/>
      <c r="HZX1" s="159"/>
      <c r="HZY1" s="159"/>
      <c r="HZZ1" s="159"/>
      <c r="IAA1" s="159"/>
      <c r="IAB1" s="159"/>
      <c r="IAC1" s="159"/>
      <c r="IAD1" s="159"/>
      <c r="IAE1" s="159"/>
      <c r="IAF1" s="159"/>
      <c r="IAG1" s="159"/>
      <c r="IAH1" s="159"/>
      <c r="IAI1" s="159"/>
      <c r="IAJ1" s="159"/>
      <c r="IAK1" s="159"/>
      <c r="IAL1" s="159"/>
      <c r="IAM1" s="159"/>
      <c r="IAN1" s="159"/>
      <c r="IAO1" s="159"/>
      <c r="IAP1" s="159"/>
      <c r="IAQ1" s="159"/>
      <c r="IAR1" s="159"/>
      <c r="IAS1" s="159"/>
      <c r="IAT1" s="159"/>
      <c r="IAU1" s="159"/>
      <c r="IAV1" s="159"/>
      <c r="IAW1" s="159"/>
      <c r="IAX1" s="159"/>
      <c r="IAY1" s="159"/>
      <c r="IAZ1" s="159"/>
      <c r="IBA1" s="159"/>
      <c r="IBB1" s="159"/>
      <c r="IBC1" s="159"/>
      <c r="IBD1" s="159"/>
      <c r="IBE1" s="159"/>
      <c r="IBF1" s="159"/>
      <c r="IBG1" s="159"/>
      <c r="IBH1" s="159"/>
      <c r="IBI1" s="159"/>
      <c r="IBJ1" s="159"/>
      <c r="IBK1" s="159"/>
      <c r="IBL1" s="159"/>
      <c r="IBM1" s="159"/>
      <c r="IBN1" s="159"/>
      <c r="IBO1" s="159"/>
      <c r="IBP1" s="159"/>
      <c r="IBQ1" s="159"/>
      <c r="IBR1" s="159"/>
      <c r="IBS1" s="159"/>
      <c r="IBT1" s="159"/>
      <c r="IBU1" s="159"/>
      <c r="IBV1" s="159"/>
      <c r="IBW1" s="159"/>
      <c r="IBX1" s="159"/>
      <c r="IBY1" s="159"/>
      <c r="IBZ1" s="159"/>
      <c r="ICA1" s="159"/>
      <c r="ICB1" s="159"/>
      <c r="ICC1" s="159"/>
      <c r="ICD1" s="159"/>
      <c r="ICE1" s="159"/>
      <c r="ICF1" s="159"/>
      <c r="ICG1" s="159"/>
      <c r="ICH1" s="159"/>
      <c r="ICI1" s="159"/>
      <c r="ICJ1" s="159"/>
      <c r="ICK1" s="159"/>
      <c r="ICL1" s="159"/>
      <c r="ICM1" s="159"/>
      <c r="ICN1" s="159"/>
      <c r="ICO1" s="159"/>
      <c r="ICP1" s="159"/>
      <c r="ICQ1" s="159"/>
      <c r="ICR1" s="159"/>
      <c r="ICS1" s="159"/>
      <c r="ICT1" s="159"/>
      <c r="ICU1" s="159"/>
      <c r="ICV1" s="159"/>
      <c r="ICW1" s="159"/>
      <c r="ICX1" s="159"/>
      <c r="ICY1" s="159"/>
      <c r="ICZ1" s="159"/>
      <c r="IDA1" s="159"/>
      <c r="IDB1" s="159"/>
      <c r="IDC1" s="159"/>
      <c r="IDD1" s="159"/>
      <c r="IDE1" s="159"/>
      <c r="IDF1" s="159"/>
      <c r="IDG1" s="159"/>
      <c r="IDH1" s="159"/>
      <c r="IDI1" s="159"/>
      <c r="IDJ1" s="159"/>
      <c r="IDK1" s="159"/>
      <c r="IDL1" s="159"/>
      <c r="IDM1" s="159"/>
      <c r="IDN1" s="159"/>
      <c r="IDO1" s="159"/>
      <c r="IDP1" s="159"/>
      <c r="IDQ1" s="159"/>
      <c r="IDR1" s="159"/>
      <c r="IDS1" s="159"/>
      <c r="IDT1" s="159"/>
      <c r="IDU1" s="159"/>
      <c r="IDV1" s="159"/>
      <c r="IDW1" s="159"/>
      <c r="IDX1" s="159"/>
      <c r="IDY1" s="159"/>
      <c r="IDZ1" s="159"/>
      <c r="IEA1" s="159"/>
      <c r="IEB1" s="159"/>
      <c r="IEC1" s="159"/>
      <c r="IED1" s="159"/>
      <c r="IEE1" s="159"/>
      <c r="IEF1" s="159"/>
      <c r="IEG1" s="159"/>
      <c r="IEH1" s="159"/>
      <c r="IEI1" s="159"/>
      <c r="IEJ1" s="159"/>
      <c r="IEK1" s="159"/>
      <c r="IEL1" s="159"/>
      <c r="IEM1" s="159"/>
      <c r="IEN1" s="159"/>
      <c r="IEO1" s="159"/>
      <c r="IEP1" s="159"/>
      <c r="IEQ1" s="159"/>
      <c r="IER1" s="159"/>
      <c r="IES1" s="159"/>
      <c r="IET1" s="159"/>
      <c r="IEU1" s="159"/>
      <c r="IEV1" s="159"/>
      <c r="IEW1" s="159"/>
      <c r="IEX1" s="159"/>
      <c r="IEY1" s="159"/>
      <c r="IEZ1" s="159"/>
      <c r="IGK1" s="159"/>
      <c r="IGY1" s="159"/>
      <c r="IGZ1" s="159"/>
      <c r="IHA1" s="159"/>
      <c r="IHB1" s="159"/>
      <c r="IHC1" s="159"/>
      <c r="IHD1" s="159"/>
      <c r="IHE1" s="159"/>
      <c r="IHF1" s="159"/>
      <c r="IHG1" s="159"/>
      <c r="IHH1" s="159"/>
      <c r="IHI1" s="159"/>
      <c r="IHJ1" s="159"/>
      <c r="IHK1" s="159"/>
      <c r="IHL1" s="159"/>
      <c r="IHM1" s="159"/>
      <c r="IHN1" s="159"/>
      <c r="IHO1" s="159"/>
      <c r="IHP1" s="159"/>
      <c r="IHQ1" s="159"/>
      <c r="IHR1" s="159"/>
      <c r="IHS1" s="159"/>
      <c r="IHT1" s="159"/>
      <c r="IHU1" s="159"/>
      <c r="IHV1" s="159"/>
      <c r="IHW1" s="159"/>
      <c r="IHX1" s="159"/>
      <c r="IHY1" s="159"/>
      <c r="IHZ1" s="159"/>
      <c r="IIA1" s="159"/>
      <c r="IIB1" s="159"/>
      <c r="IIC1" s="159"/>
      <c r="IID1" s="159"/>
      <c r="IIE1" s="159"/>
      <c r="IIF1" s="159"/>
      <c r="IIG1" s="159"/>
      <c r="IIH1" s="159"/>
      <c r="III1" s="159"/>
      <c r="IIJ1" s="159"/>
      <c r="IIK1" s="159"/>
      <c r="IIL1" s="159"/>
      <c r="IIM1" s="159"/>
      <c r="IIN1" s="159"/>
      <c r="IIO1" s="159"/>
      <c r="IIP1" s="159"/>
      <c r="IIQ1" s="159"/>
      <c r="IIR1" s="159"/>
      <c r="IIS1" s="159"/>
      <c r="IIT1" s="159"/>
      <c r="IIU1" s="159"/>
      <c r="IIV1" s="159"/>
      <c r="IIW1" s="159"/>
      <c r="IIX1" s="159"/>
      <c r="IIY1" s="159"/>
      <c r="IIZ1" s="159"/>
      <c r="IJA1" s="159"/>
      <c r="IJB1" s="159"/>
      <c r="IJC1" s="159"/>
      <c r="IJD1" s="159"/>
      <c r="IJE1" s="159"/>
      <c r="IJF1" s="159"/>
      <c r="IJG1" s="159"/>
      <c r="IJH1" s="159"/>
      <c r="IJI1" s="159"/>
      <c r="IJJ1" s="159"/>
      <c r="IJK1" s="159"/>
      <c r="IJL1" s="159"/>
      <c r="IJM1" s="159"/>
      <c r="IJN1" s="159"/>
      <c r="IJO1" s="159"/>
      <c r="IJP1" s="159"/>
      <c r="IJQ1" s="159"/>
      <c r="IJR1" s="159"/>
      <c r="IJS1" s="159"/>
      <c r="IJT1" s="159"/>
      <c r="IJU1" s="159"/>
      <c r="IJV1" s="159"/>
      <c r="IJW1" s="159"/>
      <c r="IJX1" s="159"/>
      <c r="IJY1" s="159"/>
      <c r="IJZ1" s="159"/>
      <c r="IKA1" s="159"/>
      <c r="IKB1" s="159"/>
      <c r="IKC1" s="159"/>
      <c r="IKD1" s="159"/>
      <c r="IKE1" s="159"/>
      <c r="IKF1" s="159"/>
      <c r="IKG1" s="159"/>
      <c r="IKH1" s="159"/>
      <c r="IKI1" s="159"/>
      <c r="IKJ1" s="159"/>
      <c r="IKK1" s="159"/>
      <c r="IKL1" s="159"/>
      <c r="IKM1" s="159"/>
      <c r="IKN1" s="159"/>
      <c r="IKO1" s="159"/>
      <c r="IKP1" s="159"/>
      <c r="IKQ1" s="159"/>
      <c r="IKR1" s="159"/>
      <c r="IKS1" s="159"/>
      <c r="IKT1" s="159"/>
      <c r="IKU1" s="159"/>
      <c r="IKV1" s="159"/>
      <c r="IKW1" s="159"/>
      <c r="IKX1" s="159"/>
      <c r="IKY1" s="159"/>
      <c r="IKZ1" s="159"/>
      <c r="ILA1" s="159"/>
      <c r="ILB1" s="159"/>
      <c r="ILC1" s="159"/>
      <c r="ILD1" s="159"/>
      <c r="ILE1" s="159"/>
      <c r="ILF1" s="159"/>
      <c r="ILG1" s="159"/>
      <c r="ILH1" s="159"/>
      <c r="ILI1" s="159"/>
      <c r="ILJ1" s="159"/>
      <c r="ILK1" s="159"/>
      <c r="ILL1" s="159"/>
      <c r="ILM1" s="159"/>
      <c r="ILN1" s="159"/>
      <c r="ILO1" s="159"/>
      <c r="ILP1" s="159"/>
      <c r="ILQ1" s="159"/>
      <c r="ILR1" s="159"/>
      <c r="ILS1" s="159"/>
      <c r="ILT1" s="159"/>
      <c r="ILU1" s="159"/>
      <c r="ILV1" s="159"/>
      <c r="ILW1" s="159"/>
      <c r="ILX1" s="159"/>
      <c r="ILY1" s="159"/>
      <c r="ILZ1" s="159"/>
      <c r="IMA1" s="159"/>
      <c r="IMB1" s="159"/>
      <c r="IMC1" s="159"/>
      <c r="IMD1" s="159"/>
      <c r="IME1" s="159"/>
      <c r="IMF1" s="159"/>
      <c r="IMG1" s="159"/>
      <c r="IMH1" s="159"/>
      <c r="IMI1" s="159"/>
      <c r="IMJ1" s="159"/>
      <c r="IMK1" s="159"/>
      <c r="IML1" s="159"/>
      <c r="IMM1" s="159"/>
      <c r="IMN1" s="159"/>
      <c r="IMO1" s="159"/>
      <c r="IMP1" s="159"/>
      <c r="IMQ1" s="159"/>
      <c r="IMR1" s="159"/>
      <c r="IMS1" s="159"/>
      <c r="IMT1" s="159"/>
      <c r="IMU1" s="159"/>
      <c r="IMV1" s="159"/>
      <c r="IMW1" s="159"/>
      <c r="IMX1" s="159"/>
      <c r="IMY1" s="159"/>
      <c r="IMZ1" s="159"/>
      <c r="INA1" s="159"/>
      <c r="INB1" s="159"/>
      <c r="INC1" s="159"/>
      <c r="IND1" s="159"/>
      <c r="INE1" s="159"/>
      <c r="INF1" s="159"/>
      <c r="ING1" s="159"/>
      <c r="INH1" s="159"/>
      <c r="INI1" s="159"/>
      <c r="INJ1" s="159"/>
      <c r="INK1" s="159"/>
      <c r="INL1" s="159"/>
      <c r="INM1" s="159"/>
      <c r="INN1" s="159"/>
      <c r="INO1" s="159"/>
      <c r="INP1" s="159"/>
      <c r="INQ1" s="159"/>
      <c r="INR1" s="159"/>
      <c r="INS1" s="159"/>
      <c r="INT1" s="159"/>
      <c r="INU1" s="159"/>
      <c r="INV1" s="159"/>
      <c r="INW1" s="159"/>
      <c r="INX1" s="159"/>
      <c r="INY1" s="159"/>
      <c r="INZ1" s="159"/>
      <c r="IOA1" s="159"/>
      <c r="IOB1" s="159"/>
      <c r="IOC1" s="159"/>
      <c r="IOD1" s="159"/>
      <c r="IOE1" s="159"/>
      <c r="IOF1" s="159"/>
      <c r="IOG1" s="159"/>
      <c r="IOH1" s="159"/>
      <c r="IOI1" s="159"/>
      <c r="IOJ1" s="159"/>
      <c r="IOK1" s="159"/>
      <c r="IOL1" s="159"/>
      <c r="IOM1" s="159"/>
      <c r="ION1" s="159"/>
      <c r="IOO1" s="159"/>
      <c r="IOP1" s="159"/>
      <c r="IOQ1" s="159"/>
      <c r="IOR1" s="159"/>
      <c r="IOS1" s="159"/>
      <c r="IOT1" s="159"/>
      <c r="IOU1" s="159"/>
      <c r="IOV1" s="159"/>
      <c r="IQG1" s="159"/>
      <c r="IQU1" s="159"/>
      <c r="IQV1" s="159"/>
      <c r="IQW1" s="159"/>
      <c r="IQX1" s="159"/>
      <c r="IQY1" s="159"/>
      <c r="IQZ1" s="159"/>
      <c r="IRA1" s="159"/>
      <c r="IRB1" s="159"/>
      <c r="IRC1" s="159"/>
      <c r="IRD1" s="159"/>
      <c r="IRE1" s="159"/>
      <c r="IRF1" s="159"/>
      <c r="IRG1" s="159"/>
      <c r="IRH1" s="159"/>
      <c r="IRI1" s="159"/>
      <c r="IRJ1" s="159"/>
      <c r="IRK1" s="159"/>
      <c r="IRL1" s="159"/>
      <c r="IRM1" s="159"/>
      <c r="IRN1" s="159"/>
      <c r="IRO1" s="159"/>
      <c r="IRP1" s="159"/>
      <c r="IRQ1" s="159"/>
      <c r="IRR1" s="159"/>
      <c r="IRS1" s="159"/>
      <c r="IRT1" s="159"/>
      <c r="IRU1" s="159"/>
      <c r="IRV1" s="159"/>
      <c r="IRW1" s="159"/>
      <c r="IRX1" s="159"/>
      <c r="IRY1" s="159"/>
      <c r="IRZ1" s="159"/>
      <c r="ISA1" s="159"/>
      <c r="ISB1" s="159"/>
      <c r="ISC1" s="159"/>
      <c r="ISD1" s="159"/>
      <c r="ISE1" s="159"/>
      <c r="ISF1" s="159"/>
      <c r="ISG1" s="159"/>
      <c r="ISH1" s="159"/>
      <c r="ISI1" s="159"/>
      <c r="ISJ1" s="159"/>
      <c r="ISK1" s="159"/>
      <c r="ISL1" s="159"/>
      <c r="ISM1" s="159"/>
      <c r="ISN1" s="159"/>
      <c r="ISO1" s="159"/>
      <c r="ISP1" s="159"/>
      <c r="ISQ1" s="159"/>
      <c r="ISR1" s="159"/>
      <c r="ISS1" s="159"/>
      <c r="IST1" s="159"/>
      <c r="ISU1" s="159"/>
      <c r="ISV1" s="159"/>
      <c r="ISW1" s="159"/>
      <c r="ISX1" s="159"/>
      <c r="ISY1" s="159"/>
      <c r="ISZ1" s="159"/>
      <c r="ITA1" s="159"/>
      <c r="ITB1" s="159"/>
      <c r="ITC1" s="159"/>
      <c r="ITD1" s="159"/>
      <c r="ITE1" s="159"/>
      <c r="ITF1" s="159"/>
      <c r="ITG1" s="159"/>
      <c r="ITH1" s="159"/>
      <c r="ITI1" s="159"/>
      <c r="ITJ1" s="159"/>
      <c r="ITK1" s="159"/>
      <c r="ITL1" s="159"/>
      <c r="ITM1" s="159"/>
      <c r="ITN1" s="159"/>
      <c r="ITO1" s="159"/>
      <c r="ITP1" s="159"/>
      <c r="ITQ1" s="159"/>
      <c r="ITR1" s="159"/>
      <c r="ITS1" s="159"/>
      <c r="ITT1" s="159"/>
      <c r="ITU1" s="159"/>
      <c r="ITV1" s="159"/>
      <c r="ITW1" s="159"/>
      <c r="ITX1" s="159"/>
      <c r="ITY1" s="159"/>
      <c r="ITZ1" s="159"/>
      <c r="IUA1" s="159"/>
      <c r="IUB1" s="159"/>
      <c r="IUC1" s="159"/>
      <c r="IUD1" s="159"/>
      <c r="IUE1" s="159"/>
      <c r="IUF1" s="159"/>
      <c r="IUG1" s="159"/>
      <c r="IUH1" s="159"/>
      <c r="IUI1" s="159"/>
      <c r="IUJ1" s="159"/>
      <c r="IUK1" s="159"/>
      <c r="IUL1" s="159"/>
      <c r="IUM1" s="159"/>
      <c r="IUN1" s="159"/>
      <c r="IUO1" s="159"/>
      <c r="IUP1" s="159"/>
      <c r="IUQ1" s="159"/>
      <c r="IUR1" s="159"/>
      <c r="IUS1" s="159"/>
      <c r="IUT1" s="159"/>
      <c r="IUU1" s="159"/>
      <c r="IUV1" s="159"/>
      <c r="IUW1" s="159"/>
      <c r="IUX1" s="159"/>
      <c r="IUY1" s="159"/>
      <c r="IUZ1" s="159"/>
      <c r="IVA1" s="159"/>
      <c r="IVB1" s="159"/>
      <c r="IVC1" s="159"/>
      <c r="IVD1" s="159"/>
      <c r="IVE1" s="159"/>
      <c r="IVF1" s="159"/>
      <c r="IVG1" s="159"/>
      <c r="IVH1" s="159"/>
      <c r="IVI1" s="159"/>
      <c r="IVJ1" s="159"/>
      <c r="IVK1" s="159"/>
      <c r="IVL1" s="159"/>
      <c r="IVM1" s="159"/>
      <c r="IVN1" s="159"/>
      <c r="IVO1" s="159"/>
      <c r="IVP1" s="159"/>
      <c r="IVQ1" s="159"/>
      <c r="IVR1" s="159"/>
      <c r="IVS1" s="159"/>
      <c r="IVT1" s="159"/>
      <c r="IVU1" s="159"/>
      <c r="IVV1" s="159"/>
      <c r="IVW1" s="159"/>
      <c r="IVX1" s="159"/>
      <c r="IVY1" s="159"/>
      <c r="IVZ1" s="159"/>
      <c r="IWA1" s="159"/>
      <c r="IWB1" s="159"/>
      <c r="IWC1" s="159"/>
      <c r="IWD1" s="159"/>
      <c r="IWE1" s="159"/>
      <c r="IWF1" s="159"/>
      <c r="IWG1" s="159"/>
      <c r="IWH1" s="159"/>
      <c r="IWI1" s="159"/>
      <c r="IWJ1" s="159"/>
      <c r="IWK1" s="159"/>
      <c r="IWL1" s="159"/>
      <c r="IWM1" s="159"/>
      <c r="IWN1" s="159"/>
      <c r="IWO1" s="159"/>
      <c r="IWP1" s="159"/>
      <c r="IWQ1" s="159"/>
      <c r="IWR1" s="159"/>
      <c r="IWS1" s="159"/>
      <c r="IWT1" s="159"/>
      <c r="IWU1" s="159"/>
      <c r="IWV1" s="159"/>
      <c r="IWW1" s="159"/>
      <c r="IWX1" s="159"/>
      <c r="IWY1" s="159"/>
      <c r="IWZ1" s="159"/>
      <c r="IXA1" s="159"/>
      <c r="IXB1" s="159"/>
      <c r="IXC1" s="159"/>
      <c r="IXD1" s="159"/>
      <c r="IXE1" s="159"/>
      <c r="IXF1" s="159"/>
      <c r="IXG1" s="159"/>
      <c r="IXH1" s="159"/>
      <c r="IXI1" s="159"/>
      <c r="IXJ1" s="159"/>
      <c r="IXK1" s="159"/>
      <c r="IXL1" s="159"/>
      <c r="IXM1" s="159"/>
      <c r="IXN1" s="159"/>
      <c r="IXO1" s="159"/>
      <c r="IXP1" s="159"/>
      <c r="IXQ1" s="159"/>
      <c r="IXR1" s="159"/>
      <c r="IXS1" s="159"/>
      <c r="IXT1" s="159"/>
      <c r="IXU1" s="159"/>
      <c r="IXV1" s="159"/>
      <c r="IXW1" s="159"/>
      <c r="IXX1" s="159"/>
      <c r="IXY1" s="159"/>
      <c r="IXZ1" s="159"/>
      <c r="IYA1" s="159"/>
      <c r="IYB1" s="159"/>
      <c r="IYC1" s="159"/>
      <c r="IYD1" s="159"/>
      <c r="IYE1" s="159"/>
      <c r="IYF1" s="159"/>
      <c r="IYG1" s="159"/>
      <c r="IYH1" s="159"/>
      <c r="IYI1" s="159"/>
      <c r="IYJ1" s="159"/>
      <c r="IYK1" s="159"/>
      <c r="IYL1" s="159"/>
      <c r="IYM1" s="159"/>
      <c r="IYN1" s="159"/>
      <c r="IYO1" s="159"/>
      <c r="IYP1" s="159"/>
      <c r="IYQ1" s="159"/>
      <c r="IYR1" s="159"/>
      <c r="JAC1" s="159"/>
      <c r="JAQ1" s="159"/>
      <c r="JAR1" s="159"/>
      <c r="JAS1" s="159"/>
      <c r="JAT1" s="159"/>
      <c r="JAU1" s="159"/>
      <c r="JAV1" s="159"/>
      <c r="JAW1" s="159"/>
      <c r="JAX1" s="159"/>
      <c r="JAY1" s="159"/>
      <c r="JAZ1" s="159"/>
      <c r="JBA1" s="159"/>
      <c r="JBB1" s="159"/>
      <c r="JBC1" s="159"/>
      <c r="JBD1" s="159"/>
      <c r="JBE1" s="159"/>
      <c r="JBF1" s="159"/>
      <c r="JBG1" s="159"/>
      <c r="JBH1" s="159"/>
      <c r="JBI1" s="159"/>
      <c r="JBJ1" s="159"/>
      <c r="JBK1" s="159"/>
      <c r="JBL1" s="159"/>
      <c r="JBM1" s="159"/>
      <c r="JBN1" s="159"/>
      <c r="JBO1" s="159"/>
      <c r="JBP1" s="159"/>
      <c r="JBQ1" s="159"/>
      <c r="JBR1" s="159"/>
      <c r="JBS1" s="159"/>
      <c r="JBT1" s="159"/>
      <c r="JBU1" s="159"/>
      <c r="JBV1" s="159"/>
      <c r="JBW1" s="159"/>
      <c r="JBX1" s="159"/>
      <c r="JBY1" s="159"/>
      <c r="JBZ1" s="159"/>
      <c r="JCA1" s="159"/>
      <c r="JCB1" s="159"/>
      <c r="JCC1" s="159"/>
      <c r="JCD1" s="159"/>
      <c r="JCE1" s="159"/>
      <c r="JCF1" s="159"/>
      <c r="JCG1" s="159"/>
      <c r="JCH1" s="159"/>
      <c r="JCI1" s="159"/>
      <c r="JCJ1" s="159"/>
      <c r="JCK1" s="159"/>
      <c r="JCL1" s="159"/>
      <c r="JCM1" s="159"/>
      <c r="JCN1" s="159"/>
      <c r="JCO1" s="159"/>
      <c r="JCP1" s="159"/>
      <c r="JCQ1" s="159"/>
      <c r="JCR1" s="159"/>
      <c r="JCS1" s="159"/>
      <c r="JCT1" s="159"/>
      <c r="JCU1" s="159"/>
      <c r="JCV1" s="159"/>
      <c r="JCW1" s="159"/>
      <c r="JCX1" s="159"/>
      <c r="JCY1" s="159"/>
      <c r="JCZ1" s="159"/>
      <c r="JDA1" s="159"/>
      <c r="JDB1" s="159"/>
      <c r="JDC1" s="159"/>
      <c r="JDD1" s="159"/>
      <c r="JDE1" s="159"/>
      <c r="JDF1" s="159"/>
      <c r="JDG1" s="159"/>
      <c r="JDH1" s="159"/>
      <c r="JDI1" s="159"/>
      <c r="JDJ1" s="159"/>
      <c r="JDK1" s="159"/>
      <c r="JDL1" s="159"/>
      <c r="JDM1" s="159"/>
      <c r="JDN1" s="159"/>
      <c r="JDO1" s="159"/>
      <c r="JDP1" s="159"/>
      <c r="JDQ1" s="159"/>
      <c r="JDR1" s="159"/>
      <c r="JDS1" s="159"/>
      <c r="JDT1" s="159"/>
      <c r="JDU1" s="159"/>
      <c r="JDV1" s="159"/>
      <c r="JDW1" s="159"/>
      <c r="JDX1" s="159"/>
      <c r="JDY1" s="159"/>
      <c r="JDZ1" s="159"/>
      <c r="JEA1" s="159"/>
      <c r="JEB1" s="159"/>
      <c r="JEC1" s="159"/>
      <c r="JED1" s="159"/>
      <c r="JEE1" s="159"/>
      <c r="JEF1" s="159"/>
      <c r="JEG1" s="159"/>
      <c r="JEH1" s="159"/>
      <c r="JEI1" s="159"/>
      <c r="JEJ1" s="159"/>
      <c r="JEK1" s="159"/>
      <c r="JEL1" s="159"/>
      <c r="JEM1" s="159"/>
      <c r="JEN1" s="159"/>
      <c r="JEO1" s="159"/>
      <c r="JEP1" s="159"/>
      <c r="JEQ1" s="159"/>
      <c r="JER1" s="159"/>
      <c r="JES1" s="159"/>
      <c r="JET1" s="159"/>
      <c r="JEU1" s="159"/>
      <c r="JEV1" s="159"/>
      <c r="JEW1" s="159"/>
      <c r="JEX1" s="159"/>
      <c r="JEY1" s="159"/>
      <c r="JEZ1" s="159"/>
      <c r="JFA1" s="159"/>
      <c r="JFB1" s="159"/>
      <c r="JFC1" s="159"/>
      <c r="JFD1" s="159"/>
      <c r="JFE1" s="159"/>
      <c r="JFF1" s="159"/>
      <c r="JFG1" s="159"/>
      <c r="JFH1" s="159"/>
      <c r="JFI1" s="159"/>
      <c r="JFJ1" s="159"/>
      <c r="JFK1" s="159"/>
      <c r="JFL1" s="159"/>
      <c r="JFM1" s="159"/>
      <c r="JFN1" s="159"/>
      <c r="JFO1" s="159"/>
      <c r="JFP1" s="159"/>
      <c r="JFQ1" s="159"/>
      <c r="JFR1" s="159"/>
      <c r="JFS1" s="159"/>
      <c r="JFT1" s="159"/>
      <c r="JFU1" s="159"/>
      <c r="JFV1" s="159"/>
      <c r="JFW1" s="159"/>
      <c r="JFX1" s="159"/>
      <c r="JFY1" s="159"/>
      <c r="JFZ1" s="159"/>
      <c r="JGA1" s="159"/>
      <c r="JGB1" s="159"/>
      <c r="JGC1" s="159"/>
      <c r="JGD1" s="159"/>
      <c r="JGE1" s="159"/>
      <c r="JGF1" s="159"/>
      <c r="JGG1" s="159"/>
      <c r="JGH1" s="159"/>
      <c r="JGI1" s="159"/>
      <c r="JGJ1" s="159"/>
      <c r="JGK1" s="159"/>
      <c r="JGL1" s="159"/>
      <c r="JGM1" s="159"/>
      <c r="JGN1" s="159"/>
      <c r="JGO1" s="159"/>
      <c r="JGP1" s="159"/>
      <c r="JGQ1" s="159"/>
      <c r="JGR1" s="159"/>
      <c r="JGS1" s="159"/>
      <c r="JGT1" s="159"/>
      <c r="JGU1" s="159"/>
      <c r="JGV1" s="159"/>
      <c r="JGW1" s="159"/>
      <c r="JGX1" s="159"/>
      <c r="JGY1" s="159"/>
      <c r="JGZ1" s="159"/>
      <c r="JHA1" s="159"/>
      <c r="JHB1" s="159"/>
      <c r="JHC1" s="159"/>
      <c r="JHD1" s="159"/>
      <c r="JHE1" s="159"/>
      <c r="JHF1" s="159"/>
      <c r="JHG1" s="159"/>
      <c r="JHH1" s="159"/>
      <c r="JHI1" s="159"/>
      <c r="JHJ1" s="159"/>
      <c r="JHK1" s="159"/>
      <c r="JHL1" s="159"/>
      <c r="JHM1" s="159"/>
      <c r="JHN1" s="159"/>
      <c r="JHO1" s="159"/>
      <c r="JHP1" s="159"/>
      <c r="JHQ1" s="159"/>
      <c r="JHR1" s="159"/>
      <c r="JHS1" s="159"/>
      <c r="JHT1" s="159"/>
      <c r="JHU1" s="159"/>
      <c r="JHV1" s="159"/>
      <c r="JHW1" s="159"/>
      <c r="JHX1" s="159"/>
      <c r="JHY1" s="159"/>
      <c r="JHZ1" s="159"/>
      <c r="JIA1" s="159"/>
      <c r="JIB1" s="159"/>
      <c r="JIC1" s="159"/>
      <c r="JID1" s="159"/>
      <c r="JIE1" s="159"/>
      <c r="JIF1" s="159"/>
      <c r="JIG1" s="159"/>
      <c r="JIH1" s="159"/>
      <c r="JII1" s="159"/>
      <c r="JIJ1" s="159"/>
      <c r="JIK1" s="159"/>
      <c r="JIL1" s="159"/>
      <c r="JIM1" s="159"/>
      <c r="JIN1" s="159"/>
      <c r="JJY1" s="159"/>
      <c r="JKM1" s="159"/>
      <c r="JKN1" s="159"/>
      <c r="JKO1" s="159"/>
      <c r="JKP1" s="159"/>
      <c r="JKQ1" s="159"/>
      <c r="JKR1" s="159"/>
      <c r="JKS1" s="159"/>
      <c r="JKT1" s="159"/>
      <c r="JKU1" s="159"/>
      <c r="JKV1" s="159"/>
      <c r="JKW1" s="159"/>
      <c r="JKX1" s="159"/>
      <c r="JKY1" s="159"/>
      <c r="JKZ1" s="159"/>
      <c r="JLA1" s="159"/>
      <c r="JLB1" s="159"/>
      <c r="JLC1" s="159"/>
      <c r="JLD1" s="159"/>
      <c r="JLE1" s="159"/>
      <c r="JLF1" s="159"/>
      <c r="JLG1" s="159"/>
      <c r="JLH1" s="159"/>
      <c r="JLI1" s="159"/>
      <c r="JLJ1" s="159"/>
      <c r="JLK1" s="159"/>
      <c r="JLL1" s="159"/>
      <c r="JLM1" s="159"/>
      <c r="JLN1" s="159"/>
      <c r="JLO1" s="159"/>
      <c r="JLP1" s="159"/>
      <c r="JLQ1" s="159"/>
      <c r="JLR1" s="159"/>
      <c r="JLS1" s="159"/>
      <c r="JLT1" s="159"/>
      <c r="JLU1" s="159"/>
      <c r="JLV1" s="159"/>
      <c r="JLW1" s="159"/>
      <c r="JLX1" s="159"/>
      <c r="JLY1" s="159"/>
      <c r="JLZ1" s="159"/>
      <c r="JMA1" s="159"/>
      <c r="JMB1" s="159"/>
      <c r="JMC1" s="159"/>
      <c r="JMD1" s="159"/>
      <c r="JME1" s="159"/>
      <c r="JMF1" s="159"/>
      <c r="JMG1" s="159"/>
      <c r="JMH1" s="159"/>
      <c r="JMI1" s="159"/>
      <c r="JMJ1" s="159"/>
      <c r="JMK1" s="159"/>
      <c r="JML1" s="159"/>
      <c r="JMM1" s="159"/>
      <c r="JMN1" s="159"/>
      <c r="JMO1" s="159"/>
      <c r="JMP1" s="159"/>
      <c r="JMQ1" s="159"/>
      <c r="JMR1" s="159"/>
      <c r="JMS1" s="159"/>
      <c r="JMT1" s="159"/>
      <c r="JMU1" s="159"/>
      <c r="JMV1" s="159"/>
      <c r="JMW1" s="159"/>
      <c r="JMX1" s="159"/>
      <c r="JMY1" s="159"/>
      <c r="JMZ1" s="159"/>
      <c r="JNA1" s="159"/>
      <c r="JNB1" s="159"/>
      <c r="JNC1" s="159"/>
      <c r="JND1" s="159"/>
      <c r="JNE1" s="159"/>
      <c r="JNF1" s="159"/>
      <c r="JNG1" s="159"/>
      <c r="JNH1" s="159"/>
      <c r="JNI1" s="159"/>
      <c r="JNJ1" s="159"/>
      <c r="JNK1" s="159"/>
      <c r="JNL1" s="159"/>
      <c r="JNM1" s="159"/>
      <c r="JNN1" s="159"/>
      <c r="JNO1" s="159"/>
      <c r="JNP1" s="159"/>
      <c r="JNQ1" s="159"/>
      <c r="JNR1" s="159"/>
      <c r="JNS1" s="159"/>
      <c r="JNT1" s="159"/>
      <c r="JNU1" s="159"/>
      <c r="JNV1" s="159"/>
      <c r="JNW1" s="159"/>
      <c r="JNX1" s="159"/>
      <c r="JNY1" s="159"/>
      <c r="JNZ1" s="159"/>
      <c r="JOA1" s="159"/>
      <c r="JOB1" s="159"/>
      <c r="JOC1" s="159"/>
      <c r="JOD1" s="159"/>
      <c r="JOE1" s="159"/>
      <c r="JOF1" s="159"/>
      <c r="JOG1" s="159"/>
      <c r="JOH1" s="159"/>
      <c r="JOI1" s="159"/>
      <c r="JOJ1" s="159"/>
      <c r="JOK1" s="159"/>
      <c r="JOL1" s="159"/>
      <c r="JOM1" s="159"/>
      <c r="JON1" s="159"/>
      <c r="JOO1" s="159"/>
      <c r="JOP1" s="159"/>
      <c r="JOQ1" s="159"/>
      <c r="JOR1" s="159"/>
      <c r="JOS1" s="159"/>
      <c r="JOT1" s="159"/>
      <c r="JOU1" s="159"/>
      <c r="JOV1" s="159"/>
      <c r="JOW1" s="159"/>
      <c r="JOX1" s="159"/>
      <c r="JOY1" s="159"/>
      <c r="JOZ1" s="159"/>
      <c r="JPA1" s="159"/>
      <c r="JPB1" s="159"/>
      <c r="JPC1" s="159"/>
      <c r="JPD1" s="159"/>
      <c r="JPE1" s="159"/>
      <c r="JPF1" s="159"/>
      <c r="JPG1" s="159"/>
      <c r="JPH1" s="159"/>
      <c r="JPI1" s="159"/>
      <c r="JPJ1" s="159"/>
      <c r="JPK1" s="159"/>
      <c r="JPL1" s="159"/>
      <c r="JPM1" s="159"/>
      <c r="JPN1" s="159"/>
      <c r="JPO1" s="159"/>
      <c r="JPP1" s="159"/>
      <c r="JPQ1" s="159"/>
      <c r="JPR1" s="159"/>
      <c r="JPS1" s="159"/>
      <c r="JPT1" s="159"/>
      <c r="JPU1" s="159"/>
      <c r="JPV1" s="159"/>
      <c r="JPW1" s="159"/>
      <c r="JPX1" s="159"/>
      <c r="JPY1" s="159"/>
      <c r="JPZ1" s="159"/>
      <c r="JQA1" s="159"/>
      <c r="JQB1" s="159"/>
      <c r="JQC1" s="159"/>
      <c r="JQD1" s="159"/>
      <c r="JQE1" s="159"/>
      <c r="JQF1" s="159"/>
      <c r="JQG1" s="159"/>
      <c r="JQH1" s="159"/>
      <c r="JQI1" s="159"/>
      <c r="JQJ1" s="159"/>
      <c r="JQK1" s="159"/>
      <c r="JQL1" s="159"/>
      <c r="JQM1" s="159"/>
      <c r="JQN1" s="159"/>
      <c r="JQO1" s="159"/>
      <c r="JQP1" s="159"/>
      <c r="JQQ1" s="159"/>
      <c r="JQR1" s="159"/>
      <c r="JQS1" s="159"/>
      <c r="JQT1" s="159"/>
      <c r="JQU1" s="159"/>
      <c r="JQV1" s="159"/>
      <c r="JQW1" s="159"/>
      <c r="JQX1" s="159"/>
      <c r="JQY1" s="159"/>
      <c r="JQZ1" s="159"/>
      <c r="JRA1" s="159"/>
      <c r="JRB1" s="159"/>
      <c r="JRC1" s="159"/>
      <c r="JRD1" s="159"/>
      <c r="JRE1" s="159"/>
      <c r="JRF1" s="159"/>
      <c r="JRG1" s="159"/>
      <c r="JRH1" s="159"/>
      <c r="JRI1" s="159"/>
      <c r="JRJ1" s="159"/>
      <c r="JRK1" s="159"/>
      <c r="JRL1" s="159"/>
      <c r="JRM1" s="159"/>
      <c r="JRN1" s="159"/>
      <c r="JRO1" s="159"/>
      <c r="JRP1" s="159"/>
      <c r="JRQ1" s="159"/>
      <c r="JRR1" s="159"/>
      <c r="JRS1" s="159"/>
      <c r="JRT1" s="159"/>
      <c r="JRU1" s="159"/>
      <c r="JRV1" s="159"/>
      <c r="JRW1" s="159"/>
      <c r="JRX1" s="159"/>
      <c r="JRY1" s="159"/>
      <c r="JRZ1" s="159"/>
      <c r="JSA1" s="159"/>
      <c r="JSB1" s="159"/>
      <c r="JSC1" s="159"/>
      <c r="JSD1" s="159"/>
      <c r="JSE1" s="159"/>
      <c r="JSF1" s="159"/>
      <c r="JSG1" s="159"/>
      <c r="JSH1" s="159"/>
      <c r="JSI1" s="159"/>
      <c r="JSJ1" s="159"/>
      <c r="JTU1" s="159"/>
      <c r="JUI1" s="159"/>
      <c r="JUJ1" s="159"/>
      <c r="JUK1" s="159"/>
      <c r="JUL1" s="159"/>
      <c r="JUM1" s="159"/>
      <c r="JUN1" s="159"/>
      <c r="JUO1" s="159"/>
      <c r="JUP1" s="159"/>
      <c r="JUQ1" s="159"/>
      <c r="JUR1" s="159"/>
      <c r="JUS1" s="159"/>
      <c r="JUT1" s="159"/>
      <c r="JUU1" s="159"/>
      <c r="JUV1" s="159"/>
      <c r="JUW1" s="159"/>
      <c r="JUX1" s="159"/>
      <c r="JUY1" s="159"/>
      <c r="JUZ1" s="159"/>
      <c r="JVA1" s="159"/>
      <c r="JVB1" s="159"/>
      <c r="JVC1" s="159"/>
      <c r="JVD1" s="159"/>
      <c r="JVE1" s="159"/>
      <c r="JVF1" s="159"/>
      <c r="JVG1" s="159"/>
      <c r="JVH1" s="159"/>
      <c r="JVI1" s="159"/>
      <c r="JVJ1" s="159"/>
      <c r="JVK1" s="159"/>
      <c r="JVL1" s="159"/>
      <c r="JVM1" s="159"/>
      <c r="JVN1" s="159"/>
      <c r="JVO1" s="159"/>
      <c r="JVP1" s="159"/>
      <c r="JVQ1" s="159"/>
      <c r="JVR1" s="159"/>
      <c r="JVS1" s="159"/>
      <c r="JVT1" s="159"/>
      <c r="JVU1" s="159"/>
      <c r="JVV1" s="159"/>
      <c r="JVW1" s="159"/>
      <c r="JVX1" s="159"/>
      <c r="JVY1" s="159"/>
      <c r="JVZ1" s="159"/>
      <c r="JWA1" s="159"/>
      <c r="JWB1" s="159"/>
      <c r="JWC1" s="159"/>
      <c r="JWD1" s="159"/>
      <c r="JWE1" s="159"/>
      <c r="JWF1" s="159"/>
      <c r="JWG1" s="159"/>
      <c r="JWH1" s="159"/>
      <c r="JWI1" s="159"/>
      <c r="JWJ1" s="159"/>
      <c r="JWK1" s="159"/>
      <c r="JWL1" s="159"/>
      <c r="JWM1" s="159"/>
      <c r="JWN1" s="159"/>
      <c r="JWO1" s="159"/>
      <c r="JWP1" s="159"/>
      <c r="JWQ1" s="159"/>
      <c r="JWR1" s="159"/>
      <c r="JWS1" s="159"/>
      <c r="JWT1" s="159"/>
      <c r="JWU1" s="159"/>
      <c r="JWV1" s="159"/>
      <c r="JWW1" s="159"/>
      <c r="JWX1" s="159"/>
      <c r="JWY1" s="159"/>
      <c r="JWZ1" s="159"/>
      <c r="JXA1" s="159"/>
      <c r="JXB1" s="159"/>
      <c r="JXC1" s="159"/>
      <c r="JXD1" s="159"/>
      <c r="JXE1" s="159"/>
      <c r="JXF1" s="159"/>
      <c r="JXG1" s="159"/>
      <c r="JXH1" s="159"/>
      <c r="JXI1" s="159"/>
      <c r="JXJ1" s="159"/>
      <c r="JXK1" s="159"/>
      <c r="JXL1" s="159"/>
      <c r="JXM1" s="159"/>
      <c r="JXN1" s="159"/>
      <c r="JXO1" s="159"/>
      <c r="JXP1" s="159"/>
      <c r="JXQ1" s="159"/>
      <c r="JXR1" s="159"/>
      <c r="JXS1" s="159"/>
      <c r="JXT1" s="159"/>
      <c r="JXU1" s="159"/>
      <c r="JXV1" s="159"/>
      <c r="JXW1" s="159"/>
      <c r="JXX1" s="159"/>
      <c r="JXY1" s="159"/>
      <c r="JXZ1" s="159"/>
      <c r="JYA1" s="159"/>
      <c r="JYB1" s="159"/>
      <c r="JYC1" s="159"/>
      <c r="JYD1" s="159"/>
      <c r="JYE1" s="159"/>
      <c r="JYF1" s="159"/>
      <c r="JYG1" s="159"/>
      <c r="JYH1" s="159"/>
      <c r="JYI1" s="159"/>
      <c r="JYJ1" s="159"/>
      <c r="JYK1" s="159"/>
      <c r="JYL1" s="159"/>
      <c r="JYM1" s="159"/>
      <c r="JYN1" s="159"/>
      <c r="JYO1" s="159"/>
      <c r="JYP1" s="159"/>
      <c r="JYQ1" s="159"/>
      <c r="JYR1" s="159"/>
      <c r="JYS1" s="159"/>
      <c r="JYT1" s="159"/>
      <c r="JYU1" s="159"/>
      <c r="JYV1" s="159"/>
      <c r="JYW1" s="159"/>
      <c r="JYX1" s="159"/>
      <c r="JYY1" s="159"/>
      <c r="JYZ1" s="159"/>
      <c r="JZA1" s="159"/>
      <c r="JZB1" s="159"/>
      <c r="JZC1" s="159"/>
      <c r="JZD1" s="159"/>
      <c r="JZE1" s="159"/>
      <c r="JZF1" s="159"/>
      <c r="JZG1" s="159"/>
      <c r="JZH1" s="159"/>
      <c r="JZI1" s="159"/>
      <c r="JZJ1" s="159"/>
      <c r="JZK1" s="159"/>
      <c r="JZL1" s="159"/>
      <c r="JZM1" s="159"/>
      <c r="JZN1" s="159"/>
      <c r="JZO1" s="159"/>
      <c r="JZP1" s="159"/>
      <c r="JZQ1" s="159"/>
      <c r="JZR1" s="159"/>
      <c r="JZS1" s="159"/>
      <c r="JZT1" s="159"/>
      <c r="JZU1" s="159"/>
      <c r="JZV1" s="159"/>
      <c r="JZW1" s="159"/>
      <c r="JZX1" s="159"/>
      <c r="JZY1" s="159"/>
      <c r="JZZ1" s="159"/>
      <c r="KAA1" s="159"/>
      <c r="KAB1" s="159"/>
      <c r="KAC1" s="159"/>
      <c r="KAD1" s="159"/>
      <c r="KAE1" s="159"/>
      <c r="KAF1" s="159"/>
      <c r="KAG1" s="159"/>
      <c r="KAH1" s="159"/>
      <c r="KAI1" s="159"/>
      <c r="KAJ1" s="159"/>
      <c r="KAK1" s="159"/>
      <c r="KAL1" s="159"/>
      <c r="KAM1" s="159"/>
      <c r="KAN1" s="159"/>
      <c r="KAO1" s="159"/>
      <c r="KAP1" s="159"/>
      <c r="KAQ1" s="159"/>
      <c r="KAR1" s="159"/>
      <c r="KAS1" s="159"/>
      <c r="KAT1" s="159"/>
      <c r="KAU1" s="159"/>
      <c r="KAV1" s="159"/>
      <c r="KAW1" s="159"/>
      <c r="KAX1" s="159"/>
      <c r="KAY1" s="159"/>
      <c r="KAZ1" s="159"/>
      <c r="KBA1" s="159"/>
      <c r="KBB1" s="159"/>
      <c r="KBC1" s="159"/>
      <c r="KBD1" s="159"/>
      <c r="KBE1" s="159"/>
      <c r="KBF1" s="159"/>
      <c r="KBG1" s="159"/>
      <c r="KBH1" s="159"/>
      <c r="KBI1" s="159"/>
      <c r="KBJ1" s="159"/>
      <c r="KBK1" s="159"/>
      <c r="KBL1" s="159"/>
      <c r="KBM1" s="159"/>
      <c r="KBN1" s="159"/>
      <c r="KBO1" s="159"/>
      <c r="KBP1" s="159"/>
      <c r="KBQ1" s="159"/>
      <c r="KBR1" s="159"/>
      <c r="KBS1" s="159"/>
      <c r="KBT1" s="159"/>
      <c r="KBU1" s="159"/>
      <c r="KBV1" s="159"/>
      <c r="KBW1" s="159"/>
      <c r="KBX1" s="159"/>
      <c r="KBY1" s="159"/>
      <c r="KBZ1" s="159"/>
      <c r="KCA1" s="159"/>
      <c r="KCB1" s="159"/>
      <c r="KCC1" s="159"/>
      <c r="KCD1" s="159"/>
      <c r="KCE1" s="159"/>
      <c r="KCF1" s="159"/>
      <c r="KDQ1" s="159"/>
      <c r="KEE1" s="159"/>
      <c r="KEF1" s="159"/>
      <c r="KEG1" s="159"/>
      <c r="KEH1" s="159"/>
      <c r="KEI1" s="159"/>
      <c r="KEJ1" s="159"/>
      <c r="KEK1" s="159"/>
      <c r="KEL1" s="159"/>
      <c r="KEM1" s="159"/>
      <c r="KEN1" s="159"/>
      <c r="KEO1" s="159"/>
      <c r="KEP1" s="159"/>
      <c r="KEQ1" s="159"/>
      <c r="KER1" s="159"/>
      <c r="KES1" s="159"/>
      <c r="KET1" s="159"/>
      <c r="KEU1" s="159"/>
      <c r="KEV1" s="159"/>
      <c r="KEW1" s="159"/>
      <c r="KEX1" s="159"/>
      <c r="KEY1" s="159"/>
      <c r="KEZ1" s="159"/>
      <c r="KFA1" s="159"/>
      <c r="KFB1" s="159"/>
      <c r="KFC1" s="159"/>
      <c r="KFD1" s="159"/>
      <c r="KFE1" s="159"/>
      <c r="KFF1" s="159"/>
      <c r="KFG1" s="159"/>
      <c r="KFH1" s="159"/>
      <c r="KFI1" s="159"/>
      <c r="KFJ1" s="159"/>
      <c r="KFK1" s="159"/>
      <c r="KFL1" s="159"/>
      <c r="KFM1" s="159"/>
      <c r="KFN1" s="159"/>
      <c r="KFO1" s="159"/>
      <c r="KFP1" s="159"/>
      <c r="KFQ1" s="159"/>
      <c r="KFR1" s="159"/>
      <c r="KFS1" s="159"/>
      <c r="KFT1" s="159"/>
      <c r="KFU1" s="159"/>
      <c r="KFV1" s="159"/>
      <c r="KFW1" s="159"/>
      <c r="KFX1" s="159"/>
      <c r="KFY1" s="159"/>
      <c r="KFZ1" s="159"/>
      <c r="KGA1" s="159"/>
      <c r="KGB1" s="159"/>
      <c r="KGC1" s="159"/>
      <c r="KGD1" s="159"/>
      <c r="KGE1" s="159"/>
      <c r="KGF1" s="159"/>
      <c r="KGG1" s="159"/>
      <c r="KGH1" s="159"/>
      <c r="KGI1" s="159"/>
      <c r="KGJ1" s="159"/>
      <c r="KGK1" s="159"/>
      <c r="KGL1" s="159"/>
      <c r="KGM1" s="159"/>
      <c r="KGN1" s="159"/>
      <c r="KGO1" s="159"/>
      <c r="KGP1" s="159"/>
      <c r="KGQ1" s="159"/>
      <c r="KGR1" s="159"/>
      <c r="KGS1" s="159"/>
      <c r="KGT1" s="159"/>
      <c r="KGU1" s="159"/>
      <c r="KGV1" s="159"/>
      <c r="KGW1" s="159"/>
      <c r="KGX1" s="159"/>
      <c r="KGY1" s="159"/>
      <c r="KGZ1" s="159"/>
      <c r="KHA1" s="159"/>
      <c r="KHB1" s="159"/>
      <c r="KHC1" s="159"/>
      <c r="KHD1" s="159"/>
      <c r="KHE1" s="159"/>
      <c r="KHF1" s="159"/>
      <c r="KHG1" s="159"/>
      <c r="KHH1" s="159"/>
      <c r="KHI1" s="159"/>
      <c r="KHJ1" s="159"/>
      <c r="KHK1" s="159"/>
      <c r="KHL1" s="159"/>
      <c r="KHM1" s="159"/>
      <c r="KHN1" s="159"/>
      <c r="KHO1" s="159"/>
      <c r="KHP1" s="159"/>
      <c r="KHQ1" s="159"/>
      <c r="KHR1" s="159"/>
      <c r="KHS1" s="159"/>
      <c r="KHT1" s="159"/>
      <c r="KHU1" s="159"/>
      <c r="KHV1" s="159"/>
      <c r="KHW1" s="159"/>
      <c r="KHX1" s="159"/>
      <c r="KHY1" s="159"/>
      <c r="KHZ1" s="159"/>
      <c r="KIA1" s="159"/>
      <c r="KIB1" s="159"/>
      <c r="KIC1" s="159"/>
      <c r="KID1" s="159"/>
      <c r="KIE1" s="159"/>
      <c r="KIF1" s="159"/>
      <c r="KIG1" s="159"/>
      <c r="KIH1" s="159"/>
      <c r="KII1" s="159"/>
      <c r="KIJ1" s="159"/>
      <c r="KIK1" s="159"/>
      <c r="KIL1" s="159"/>
      <c r="KIM1" s="159"/>
      <c r="KIN1" s="159"/>
      <c r="KIO1" s="159"/>
      <c r="KIP1" s="159"/>
      <c r="KIQ1" s="159"/>
      <c r="KIR1" s="159"/>
      <c r="KIS1" s="159"/>
      <c r="KIT1" s="159"/>
      <c r="KIU1" s="159"/>
      <c r="KIV1" s="159"/>
      <c r="KIW1" s="159"/>
      <c r="KIX1" s="159"/>
      <c r="KIY1" s="159"/>
      <c r="KIZ1" s="159"/>
      <c r="KJA1" s="159"/>
      <c r="KJB1" s="159"/>
      <c r="KJC1" s="159"/>
      <c r="KJD1" s="159"/>
      <c r="KJE1" s="159"/>
      <c r="KJF1" s="159"/>
      <c r="KJG1" s="159"/>
      <c r="KJH1" s="159"/>
      <c r="KJI1" s="159"/>
      <c r="KJJ1" s="159"/>
      <c r="KJK1" s="159"/>
      <c r="KJL1" s="159"/>
      <c r="KJM1" s="159"/>
      <c r="KJN1" s="159"/>
      <c r="KJO1" s="159"/>
      <c r="KJP1" s="159"/>
      <c r="KJQ1" s="159"/>
      <c r="KJR1" s="159"/>
      <c r="KJS1" s="159"/>
      <c r="KJT1" s="159"/>
      <c r="KJU1" s="159"/>
      <c r="KJV1" s="159"/>
      <c r="KJW1" s="159"/>
      <c r="KJX1" s="159"/>
      <c r="KJY1" s="159"/>
      <c r="KJZ1" s="159"/>
      <c r="KKA1" s="159"/>
      <c r="KKB1" s="159"/>
      <c r="KKC1" s="159"/>
      <c r="KKD1" s="159"/>
      <c r="KKE1" s="159"/>
      <c r="KKF1" s="159"/>
      <c r="KKG1" s="159"/>
      <c r="KKH1" s="159"/>
      <c r="KKI1" s="159"/>
      <c r="KKJ1" s="159"/>
      <c r="KKK1" s="159"/>
      <c r="KKL1" s="159"/>
      <c r="KKM1" s="159"/>
      <c r="KKN1" s="159"/>
      <c r="KKO1" s="159"/>
      <c r="KKP1" s="159"/>
      <c r="KKQ1" s="159"/>
      <c r="KKR1" s="159"/>
      <c r="KKS1" s="159"/>
      <c r="KKT1" s="159"/>
      <c r="KKU1" s="159"/>
      <c r="KKV1" s="159"/>
      <c r="KKW1" s="159"/>
      <c r="KKX1" s="159"/>
      <c r="KKY1" s="159"/>
      <c r="KKZ1" s="159"/>
      <c r="KLA1" s="159"/>
      <c r="KLB1" s="159"/>
      <c r="KLC1" s="159"/>
      <c r="KLD1" s="159"/>
      <c r="KLE1" s="159"/>
      <c r="KLF1" s="159"/>
      <c r="KLG1" s="159"/>
      <c r="KLH1" s="159"/>
      <c r="KLI1" s="159"/>
      <c r="KLJ1" s="159"/>
      <c r="KLK1" s="159"/>
      <c r="KLL1" s="159"/>
      <c r="KLM1" s="159"/>
      <c r="KLN1" s="159"/>
      <c r="KLO1" s="159"/>
      <c r="KLP1" s="159"/>
      <c r="KLQ1" s="159"/>
      <c r="KLR1" s="159"/>
      <c r="KLS1" s="159"/>
      <c r="KLT1" s="159"/>
      <c r="KLU1" s="159"/>
      <c r="KLV1" s="159"/>
      <c r="KLW1" s="159"/>
      <c r="KLX1" s="159"/>
      <c r="KLY1" s="159"/>
      <c r="KLZ1" s="159"/>
      <c r="KMA1" s="159"/>
      <c r="KMB1" s="159"/>
      <c r="KNM1" s="159"/>
      <c r="KOA1" s="159"/>
      <c r="KOB1" s="159"/>
      <c r="KOC1" s="159"/>
      <c r="KOD1" s="159"/>
      <c r="KOE1" s="159"/>
      <c r="KOF1" s="159"/>
      <c r="KOG1" s="159"/>
      <c r="KOH1" s="159"/>
      <c r="KOI1" s="159"/>
      <c r="KOJ1" s="159"/>
      <c r="KOK1" s="159"/>
      <c r="KOL1" s="159"/>
      <c r="KOM1" s="159"/>
      <c r="KON1" s="159"/>
      <c r="KOO1" s="159"/>
      <c r="KOP1" s="159"/>
      <c r="KOQ1" s="159"/>
      <c r="KOR1" s="159"/>
      <c r="KOS1" s="159"/>
      <c r="KOT1" s="159"/>
      <c r="KOU1" s="159"/>
      <c r="KOV1" s="159"/>
      <c r="KOW1" s="159"/>
      <c r="KOX1" s="159"/>
      <c r="KOY1" s="159"/>
      <c r="KOZ1" s="159"/>
      <c r="KPA1" s="159"/>
      <c r="KPB1" s="159"/>
      <c r="KPC1" s="159"/>
      <c r="KPD1" s="159"/>
      <c r="KPE1" s="159"/>
      <c r="KPF1" s="159"/>
      <c r="KPG1" s="159"/>
      <c r="KPH1" s="159"/>
      <c r="KPI1" s="159"/>
      <c r="KPJ1" s="159"/>
      <c r="KPK1" s="159"/>
      <c r="KPL1" s="159"/>
      <c r="KPM1" s="159"/>
      <c r="KPN1" s="159"/>
      <c r="KPO1" s="159"/>
      <c r="KPP1" s="159"/>
      <c r="KPQ1" s="159"/>
      <c r="KPR1" s="159"/>
      <c r="KPS1" s="159"/>
      <c r="KPT1" s="159"/>
      <c r="KPU1" s="159"/>
      <c r="KPV1" s="159"/>
      <c r="KPW1" s="159"/>
      <c r="KPX1" s="159"/>
      <c r="KPY1" s="159"/>
      <c r="KPZ1" s="159"/>
      <c r="KQA1" s="159"/>
      <c r="KQB1" s="159"/>
      <c r="KQC1" s="159"/>
      <c r="KQD1" s="159"/>
      <c r="KQE1" s="159"/>
      <c r="KQF1" s="159"/>
      <c r="KQG1" s="159"/>
      <c r="KQH1" s="159"/>
      <c r="KQI1" s="159"/>
      <c r="KQJ1" s="159"/>
      <c r="KQK1" s="159"/>
      <c r="KQL1" s="159"/>
      <c r="KQM1" s="159"/>
      <c r="KQN1" s="159"/>
      <c r="KQO1" s="159"/>
      <c r="KQP1" s="159"/>
      <c r="KQQ1" s="159"/>
      <c r="KQR1" s="159"/>
      <c r="KQS1" s="159"/>
      <c r="KQT1" s="159"/>
      <c r="KQU1" s="159"/>
      <c r="KQV1" s="159"/>
      <c r="KQW1" s="159"/>
      <c r="KQX1" s="159"/>
      <c r="KQY1" s="159"/>
      <c r="KQZ1" s="159"/>
      <c r="KRA1" s="159"/>
      <c r="KRB1" s="159"/>
      <c r="KRC1" s="159"/>
      <c r="KRD1" s="159"/>
      <c r="KRE1" s="159"/>
      <c r="KRF1" s="159"/>
      <c r="KRG1" s="159"/>
      <c r="KRH1" s="159"/>
      <c r="KRI1" s="159"/>
      <c r="KRJ1" s="159"/>
      <c r="KRK1" s="159"/>
      <c r="KRL1" s="159"/>
      <c r="KRM1" s="159"/>
      <c r="KRN1" s="159"/>
      <c r="KRO1" s="159"/>
      <c r="KRP1" s="159"/>
      <c r="KRQ1" s="159"/>
      <c r="KRR1" s="159"/>
      <c r="KRS1" s="159"/>
      <c r="KRT1" s="159"/>
      <c r="KRU1" s="159"/>
      <c r="KRV1" s="159"/>
      <c r="KRW1" s="159"/>
      <c r="KRX1" s="159"/>
      <c r="KRY1" s="159"/>
      <c r="KRZ1" s="159"/>
      <c r="KSA1" s="159"/>
      <c r="KSB1" s="159"/>
      <c r="KSC1" s="159"/>
      <c r="KSD1" s="159"/>
      <c r="KSE1" s="159"/>
      <c r="KSF1" s="159"/>
      <c r="KSG1" s="159"/>
      <c r="KSH1" s="159"/>
      <c r="KSI1" s="159"/>
      <c r="KSJ1" s="159"/>
      <c r="KSK1" s="159"/>
      <c r="KSL1" s="159"/>
      <c r="KSM1" s="159"/>
      <c r="KSN1" s="159"/>
      <c r="KSO1" s="159"/>
      <c r="KSP1" s="159"/>
      <c r="KSQ1" s="159"/>
      <c r="KSR1" s="159"/>
      <c r="KSS1" s="159"/>
      <c r="KST1" s="159"/>
      <c r="KSU1" s="159"/>
      <c r="KSV1" s="159"/>
      <c r="KSW1" s="159"/>
      <c r="KSX1" s="159"/>
      <c r="KSY1" s="159"/>
      <c r="KSZ1" s="159"/>
      <c r="KTA1" s="159"/>
      <c r="KTB1" s="159"/>
      <c r="KTC1" s="159"/>
      <c r="KTD1" s="159"/>
      <c r="KTE1" s="159"/>
      <c r="KTF1" s="159"/>
      <c r="KTG1" s="159"/>
      <c r="KTH1" s="159"/>
      <c r="KTI1" s="159"/>
      <c r="KTJ1" s="159"/>
      <c r="KTK1" s="159"/>
      <c r="KTL1" s="159"/>
      <c r="KTM1" s="159"/>
      <c r="KTN1" s="159"/>
      <c r="KTO1" s="159"/>
      <c r="KTP1" s="159"/>
      <c r="KTQ1" s="159"/>
      <c r="KTR1" s="159"/>
      <c r="KTS1" s="159"/>
      <c r="KTT1" s="159"/>
      <c r="KTU1" s="159"/>
      <c r="KTV1" s="159"/>
      <c r="KTW1" s="159"/>
      <c r="KTX1" s="159"/>
      <c r="KTY1" s="159"/>
      <c r="KTZ1" s="159"/>
      <c r="KUA1" s="159"/>
      <c r="KUB1" s="159"/>
      <c r="KUC1" s="159"/>
      <c r="KUD1" s="159"/>
      <c r="KUE1" s="159"/>
      <c r="KUF1" s="159"/>
      <c r="KUG1" s="159"/>
      <c r="KUH1" s="159"/>
      <c r="KUI1" s="159"/>
      <c r="KUJ1" s="159"/>
      <c r="KUK1" s="159"/>
      <c r="KUL1" s="159"/>
      <c r="KUM1" s="159"/>
      <c r="KUN1" s="159"/>
      <c r="KUO1" s="159"/>
      <c r="KUP1" s="159"/>
      <c r="KUQ1" s="159"/>
      <c r="KUR1" s="159"/>
      <c r="KUS1" s="159"/>
      <c r="KUT1" s="159"/>
      <c r="KUU1" s="159"/>
      <c r="KUV1" s="159"/>
      <c r="KUW1" s="159"/>
      <c r="KUX1" s="159"/>
      <c r="KUY1" s="159"/>
      <c r="KUZ1" s="159"/>
      <c r="KVA1" s="159"/>
      <c r="KVB1" s="159"/>
      <c r="KVC1" s="159"/>
      <c r="KVD1" s="159"/>
      <c r="KVE1" s="159"/>
      <c r="KVF1" s="159"/>
      <c r="KVG1" s="159"/>
      <c r="KVH1" s="159"/>
      <c r="KVI1" s="159"/>
      <c r="KVJ1" s="159"/>
      <c r="KVK1" s="159"/>
      <c r="KVL1" s="159"/>
      <c r="KVM1" s="159"/>
      <c r="KVN1" s="159"/>
      <c r="KVO1" s="159"/>
      <c r="KVP1" s="159"/>
      <c r="KVQ1" s="159"/>
      <c r="KVR1" s="159"/>
      <c r="KVS1" s="159"/>
      <c r="KVT1" s="159"/>
      <c r="KVU1" s="159"/>
      <c r="KVV1" s="159"/>
      <c r="KVW1" s="159"/>
      <c r="KVX1" s="159"/>
      <c r="KXI1" s="159"/>
      <c r="KXW1" s="159"/>
      <c r="KXX1" s="159"/>
      <c r="KXY1" s="159"/>
      <c r="KXZ1" s="159"/>
      <c r="KYA1" s="159"/>
      <c r="KYB1" s="159"/>
      <c r="KYC1" s="159"/>
      <c r="KYD1" s="159"/>
      <c r="KYE1" s="159"/>
      <c r="KYF1" s="159"/>
      <c r="KYG1" s="159"/>
      <c r="KYH1" s="159"/>
      <c r="KYI1" s="159"/>
      <c r="KYJ1" s="159"/>
      <c r="KYK1" s="159"/>
      <c r="KYL1" s="159"/>
      <c r="KYM1" s="159"/>
      <c r="KYN1" s="159"/>
      <c r="KYO1" s="159"/>
      <c r="KYP1" s="159"/>
      <c r="KYQ1" s="159"/>
      <c r="KYR1" s="159"/>
      <c r="KYS1" s="159"/>
      <c r="KYT1" s="159"/>
      <c r="KYU1" s="159"/>
      <c r="KYV1" s="159"/>
      <c r="KYW1" s="159"/>
      <c r="KYX1" s="159"/>
      <c r="KYY1" s="159"/>
      <c r="KYZ1" s="159"/>
      <c r="KZA1" s="159"/>
      <c r="KZB1" s="159"/>
      <c r="KZC1" s="159"/>
      <c r="KZD1" s="159"/>
      <c r="KZE1" s="159"/>
      <c r="KZF1" s="159"/>
      <c r="KZG1" s="159"/>
      <c r="KZH1" s="159"/>
      <c r="KZI1" s="159"/>
      <c r="KZJ1" s="159"/>
      <c r="KZK1" s="159"/>
      <c r="KZL1" s="159"/>
      <c r="KZM1" s="159"/>
      <c r="KZN1" s="159"/>
      <c r="KZO1" s="159"/>
      <c r="KZP1" s="159"/>
      <c r="KZQ1" s="159"/>
      <c r="KZR1" s="159"/>
      <c r="KZS1" s="159"/>
      <c r="KZT1" s="159"/>
      <c r="KZU1" s="159"/>
      <c r="KZV1" s="159"/>
      <c r="KZW1" s="159"/>
      <c r="KZX1" s="159"/>
      <c r="KZY1" s="159"/>
      <c r="KZZ1" s="159"/>
      <c r="LAA1" s="159"/>
      <c r="LAB1" s="159"/>
      <c r="LAC1" s="159"/>
      <c r="LAD1" s="159"/>
      <c r="LAE1" s="159"/>
      <c r="LAF1" s="159"/>
      <c r="LAG1" s="159"/>
      <c r="LAH1" s="159"/>
      <c r="LAI1" s="159"/>
      <c r="LAJ1" s="159"/>
      <c r="LAK1" s="159"/>
      <c r="LAL1" s="159"/>
      <c r="LAM1" s="159"/>
      <c r="LAN1" s="159"/>
      <c r="LAO1" s="159"/>
      <c r="LAP1" s="159"/>
      <c r="LAQ1" s="159"/>
      <c r="LAR1" s="159"/>
      <c r="LAS1" s="159"/>
      <c r="LAT1" s="159"/>
      <c r="LAU1" s="159"/>
      <c r="LAV1" s="159"/>
      <c r="LAW1" s="159"/>
      <c r="LAX1" s="159"/>
      <c r="LAY1" s="159"/>
      <c r="LAZ1" s="159"/>
      <c r="LBA1" s="159"/>
      <c r="LBB1" s="159"/>
      <c r="LBC1" s="159"/>
      <c r="LBD1" s="159"/>
      <c r="LBE1" s="159"/>
      <c r="LBF1" s="159"/>
      <c r="LBG1" s="159"/>
      <c r="LBH1" s="159"/>
      <c r="LBI1" s="159"/>
      <c r="LBJ1" s="159"/>
      <c r="LBK1" s="159"/>
      <c r="LBL1" s="159"/>
      <c r="LBM1" s="159"/>
      <c r="LBN1" s="159"/>
      <c r="LBO1" s="159"/>
      <c r="LBP1" s="159"/>
      <c r="LBQ1" s="159"/>
      <c r="LBR1" s="159"/>
      <c r="LBS1" s="159"/>
      <c r="LBT1" s="159"/>
      <c r="LBU1" s="159"/>
      <c r="LBV1" s="159"/>
      <c r="LBW1" s="159"/>
      <c r="LBX1" s="159"/>
      <c r="LBY1" s="159"/>
      <c r="LBZ1" s="159"/>
      <c r="LCA1" s="159"/>
      <c r="LCB1" s="159"/>
      <c r="LCC1" s="159"/>
      <c r="LCD1" s="159"/>
      <c r="LCE1" s="159"/>
      <c r="LCF1" s="159"/>
      <c r="LCG1" s="159"/>
      <c r="LCH1" s="159"/>
      <c r="LCI1" s="159"/>
      <c r="LCJ1" s="159"/>
      <c r="LCK1" s="159"/>
      <c r="LCL1" s="159"/>
      <c r="LCM1" s="159"/>
      <c r="LCN1" s="159"/>
      <c r="LCO1" s="159"/>
      <c r="LCP1" s="159"/>
      <c r="LCQ1" s="159"/>
      <c r="LCR1" s="159"/>
      <c r="LCS1" s="159"/>
      <c r="LCT1" s="159"/>
      <c r="LCU1" s="159"/>
      <c r="LCV1" s="159"/>
      <c r="LCW1" s="159"/>
      <c r="LCX1" s="159"/>
      <c r="LCY1" s="159"/>
      <c r="LCZ1" s="159"/>
      <c r="LDA1" s="159"/>
      <c r="LDB1" s="159"/>
      <c r="LDC1" s="159"/>
      <c r="LDD1" s="159"/>
      <c r="LDE1" s="159"/>
      <c r="LDF1" s="159"/>
      <c r="LDG1" s="159"/>
      <c r="LDH1" s="159"/>
      <c r="LDI1" s="159"/>
      <c r="LDJ1" s="159"/>
      <c r="LDK1" s="159"/>
      <c r="LDL1" s="159"/>
      <c r="LDM1" s="159"/>
      <c r="LDN1" s="159"/>
      <c r="LDO1" s="159"/>
      <c r="LDP1" s="159"/>
      <c r="LDQ1" s="159"/>
      <c r="LDR1" s="159"/>
      <c r="LDS1" s="159"/>
      <c r="LDT1" s="159"/>
      <c r="LDU1" s="159"/>
      <c r="LDV1" s="159"/>
      <c r="LDW1" s="159"/>
      <c r="LDX1" s="159"/>
      <c r="LDY1" s="159"/>
      <c r="LDZ1" s="159"/>
      <c r="LEA1" s="159"/>
      <c r="LEB1" s="159"/>
      <c r="LEC1" s="159"/>
      <c r="LED1" s="159"/>
      <c r="LEE1" s="159"/>
      <c r="LEF1" s="159"/>
      <c r="LEG1" s="159"/>
      <c r="LEH1" s="159"/>
      <c r="LEI1" s="159"/>
      <c r="LEJ1" s="159"/>
      <c r="LEK1" s="159"/>
      <c r="LEL1" s="159"/>
      <c r="LEM1" s="159"/>
      <c r="LEN1" s="159"/>
      <c r="LEO1" s="159"/>
      <c r="LEP1" s="159"/>
      <c r="LEQ1" s="159"/>
      <c r="LER1" s="159"/>
      <c r="LES1" s="159"/>
      <c r="LET1" s="159"/>
      <c r="LEU1" s="159"/>
      <c r="LEV1" s="159"/>
      <c r="LEW1" s="159"/>
      <c r="LEX1" s="159"/>
      <c r="LEY1" s="159"/>
      <c r="LEZ1" s="159"/>
      <c r="LFA1" s="159"/>
      <c r="LFB1" s="159"/>
      <c r="LFC1" s="159"/>
      <c r="LFD1" s="159"/>
      <c r="LFE1" s="159"/>
      <c r="LFF1" s="159"/>
      <c r="LFG1" s="159"/>
      <c r="LFH1" s="159"/>
      <c r="LFI1" s="159"/>
      <c r="LFJ1" s="159"/>
      <c r="LFK1" s="159"/>
      <c r="LFL1" s="159"/>
      <c r="LFM1" s="159"/>
      <c r="LFN1" s="159"/>
      <c r="LFO1" s="159"/>
      <c r="LFP1" s="159"/>
      <c r="LFQ1" s="159"/>
      <c r="LFR1" s="159"/>
      <c r="LFS1" s="159"/>
      <c r="LFT1" s="159"/>
      <c r="LHE1" s="159"/>
      <c r="LHS1" s="159"/>
      <c r="LHT1" s="159"/>
      <c r="LHU1" s="159"/>
      <c r="LHV1" s="159"/>
      <c r="LHW1" s="159"/>
      <c r="LHX1" s="159"/>
      <c r="LHY1" s="159"/>
      <c r="LHZ1" s="159"/>
      <c r="LIA1" s="159"/>
      <c r="LIB1" s="159"/>
      <c r="LIC1" s="159"/>
      <c r="LID1" s="159"/>
      <c r="LIE1" s="159"/>
      <c r="LIF1" s="159"/>
      <c r="LIG1" s="159"/>
      <c r="LIH1" s="159"/>
      <c r="LII1" s="159"/>
      <c r="LIJ1" s="159"/>
      <c r="LIK1" s="159"/>
      <c r="LIL1" s="159"/>
      <c r="LIM1" s="159"/>
      <c r="LIN1" s="159"/>
      <c r="LIO1" s="159"/>
      <c r="LIP1" s="159"/>
      <c r="LIQ1" s="159"/>
      <c r="LIR1" s="159"/>
      <c r="LIS1" s="159"/>
      <c r="LIT1" s="159"/>
      <c r="LIU1" s="159"/>
      <c r="LIV1" s="159"/>
      <c r="LIW1" s="159"/>
      <c r="LIX1" s="159"/>
      <c r="LIY1" s="159"/>
      <c r="LIZ1" s="159"/>
      <c r="LJA1" s="159"/>
      <c r="LJB1" s="159"/>
      <c r="LJC1" s="159"/>
      <c r="LJD1" s="159"/>
      <c r="LJE1" s="159"/>
      <c r="LJF1" s="159"/>
      <c r="LJG1" s="159"/>
      <c r="LJH1" s="159"/>
      <c r="LJI1" s="159"/>
      <c r="LJJ1" s="159"/>
      <c r="LJK1" s="159"/>
      <c r="LJL1" s="159"/>
      <c r="LJM1" s="159"/>
      <c r="LJN1" s="159"/>
      <c r="LJO1" s="159"/>
      <c r="LJP1" s="159"/>
      <c r="LJQ1" s="159"/>
      <c r="LJR1" s="159"/>
      <c r="LJS1" s="159"/>
      <c r="LJT1" s="159"/>
      <c r="LJU1" s="159"/>
      <c r="LJV1" s="159"/>
      <c r="LJW1" s="159"/>
      <c r="LJX1" s="159"/>
      <c r="LJY1" s="159"/>
      <c r="LJZ1" s="159"/>
      <c r="LKA1" s="159"/>
      <c r="LKB1" s="159"/>
      <c r="LKC1" s="159"/>
      <c r="LKD1" s="159"/>
      <c r="LKE1" s="159"/>
      <c r="LKF1" s="159"/>
      <c r="LKG1" s="159"/>
      <c r="LKH1" s="159"/>
      <c r="LKI1" s="159"/>
      <c r="LKJ1" s="159"/>
      <c r="LKK1" s="159"/>
      <c r="LKL1" s="159"/>
      <c r="LKM1" s="159"/>
      <c r="LKN1" s="159"/>
      <c r="LKO1" s="159"/>
      <c r="LKP1" s="159"/>
      <c r="LKQ1" s="159"/>
      <c r="LKR1" s="159"/>
      <c r="LKS1" s="159"/>
      <c r="LKT1" s="159"/>
      <c r="LKU1" s="159"/>
      <c r="LKV1" s="159"/>
      <c r="LKW1" s="159"/>
      <c r="LKX1" s="159"/>
      <c r="LKY1" s="159"/>
      <c r="LKZ1" s="159"/>
      <c r="LLA1" s="159"/>
      <c r="LLB1" s="159"/>
      <c r="LLC1" s="159"/>
      <c r="LLD1" s="159"/>
      <c r="LLE1" s="159"/>
      <c r="LLF1" s="159"/>
      <c r="LLG1" s="159"/>
      <c r="LLH1" s="159"/>
      <c r="LLI1" s="159"/>
      <c r="LLJ1" s="159"/>
      <c r="LLK1" s="159"/>
      <c r="LLL1" s="159"/>
      <c r="LLM1" s="159"/>
      <c r="LLN1" s="159"/>
      <c r="LLO1" s="159"/>
      <c r="LLP1" s="159"/>
      <c r="LLQ1" s="159"/>
      <c r="LLR1" s="159"/>
      <c r="LLS1" s="159"/>
      <c r="LLT1" s="159"/>
      <c r="LLU1" s="159"/>
      <c r="LLV1" s="159"/>
      <c r="LLW1" s="159"/>
      <c r="LLX1" s="159"/>
      <c r="LLY1" s="159"/>
      <c r="LLZ1" s="159"/>
      <c r="LMA1" s="159"/>
      <c r="LMB1" s="159"/>
      <c r="LMC1" s="159"/>
      <c r="LMD1" s="159"/>
      <c r="LME1" s="159"/>
      <c r="LMF1" s="159"/>
      <c r="LMG1" s="159"/>
      <c r="LMH1" s="159"/>
      <c r="LMI1" s="159"/>
      <c r="LMJ1" s="159"/>
      <c r="LMK1" s="159"/>
      <c r="LML1" s="159"/>
      <c r="LMM1" s="159"/>
      <c r="LMN1" s="159"/>
      <c r="LMO1" s="159"/>
      <c r="LMP1" s="159"/>
      <c r="LMQ1" s="159"/>
      <c r="LMR1" s="159"/>
      <c r="LMS1" s="159"/>
      <c r="LMT1" s="159"/>
      <c r="LMU1" s="159"/>
      <c r="LMV1" s="159"/>
      <c r="LMW1" s="159"/>
      <c r="LMX1" s="159"/>
      <c r="LMY1" s="159"/>
      <c r="LMZ1" s="159"/>
      <c r="LNA1" s="159"/>
      <c r="LNB1" s="159"/>
      <c r="LNC1" s="159"/>
      <c r="LND1" s="159"/>
      <c r="LNE1" s="159"/>
      <c r="LNF1" s="159"/>
      <c r="LNG1" s="159"/>
      <c r="LNH1" s="159"/>
      <c r="LNI1" s="159"/>
      <c r="LNJ1" s="159"/>
      <c r="LNK1" s="159"/>
      <c r="LNL1" s="159"/>
      <c r="LNM1" s="159"/>
      <c r="LNN1" s="159"/>
      <c r="LNO1" s="159"/>
      <c r="LNP1" s="159"/>
      <c r="LNQ1" s="159"/>
      <c r="LNR1" s="159"/>
      <c r="LNS1" s="159"/>
      <c r="LNT1" s="159"/>
      <c r="LNU1" s="159"/>
      <c r="LNV1" s="159"/>
      <c r="LNW1" s="159"/>
      <c r="LNX1" s="159"/>
      <c r="LNY1" s="159"/>
      <c r="LNZ1" s="159"/>
      <c r="LOA1" s="159"/>
      <c r="LOB1" s="159"/>
      <c r="LOC1" s="159"/>
      <c r="LOD1" s="159"/>
      <c r="LOE1" s="159"/>
      <c r="LOF1" s="159"/>
      <c r="LOG1" s="159"/>
      <c r="LOH1" s="159"/>
      <c r="LOI1" s="159"/>
      <c r="LOJ1" s="159"/>
      <c r="LOK1" s="159"/>
      <c r="LOL1" s="159"/>
      <c r="LOM1" s="159"/>
      <c r="LON1" s="159"/>
      <c r="LOO1" s="159"/>
      <c r="LOP1" s="159"/>
      <c r="LOQ1" s="159"/>
      <c r="LOR1" s="159"/>
      <c r="LOS1" s="159"/>
      <c r="LOT1" s="159"/>
      <c r="LOU1" s="159"/>
      <c r="LOV1" s="159"/>
      <c r="LOW1" s="159"/>
      <c r="LOX1" s="159"/>
      <c r="LOY1" s="159"/>
      <c r="LOZ1" s="159"/>
      <c r="LPA1" s="159"/>
      <c r="LPB1" s="159"/>
      <c r="LPC1" s="159"/>
      <c r="LPD1" s="159"/>
      <c r="LPE1" s="159"/>
      <c r="LPF1" s="159"/>
      <c r="LPG1" s="159"/>
      <c r="LPH1" s="159"/>
      <c r="LPI1" s="159"/>
      <c r="LPJ1" s="159"/>
      <c r="LPK1" s="159"/>
      <c r="LPL1" s="159"/>
      <c r="LPM1" s="159"/>
      <c r="LPN1" s="159"/>
      <c r="LPO1" s="159"/>
      <c r="LPP1" s="159"/>
      <c r="LRA1" s="159"/>
      <c r="LRO1" s="159"/>
      <c r="LRP1" s="159"/>
      <c r="LRQ1" s="159"/>
      <c r="LRR1" s="159"/>
      <c r="LRS1" s="159"/>
      <c r="LRT1" s="159"/>
      <c r="LRU1" s="159"/>
      <c r="LRV1" s="159"/>
      <c r="LRW1" s="159"/>
      <c r="LRX1" s="159"/>
      <c r="LRY1" s="159"/>
      <c r="LRZ1" s="159"/>
      <c r="LSA1" s="159"/>
      <c r="LSB1" s="159"/>
      <c r="LSC1" s="159"/>
      <c r="LSD1" s="159"/>
      <c r="LSE1" s="159"/>
      <c r="LSF1" s="159"/>
      <c r="LSG1" s="159"/>
      <c r="LSH1" s="159"/>
      <c r="LSI1" s="159"/>
      <c r="LSJ1" s="159"/>
      <c r="LSK1" s="159"/>
      <c r="LSL1" s="159"/>
      <c r="LSM1" s="159"/>
      <c r="LSN1" s="159"/>
      <c r="LSO1" s="159"/>
      <c r="LSP1" s="159"/>
      <c r="LSQ1" s="159"/>
      <c r="LSR1" s="159"/>
      <c r="LSS1" s="159"/>
      <c r="LST1" s="159"/>
      <c r="LSU1" s="159"/>
      <c r="LSV1" s="159"/>
      <c r="LSW1" s="159"/>
      <c r="LSX1" s="159"/>
      <c r="LSY1" s="159"/>
      <c r="LSZ1" s="159"/>
      <c r="LTA1" s="159"/>
      <c r="LTB1" s="159"/>
      <c r="LTC1" s="159"/>
      <c r="LTD1" s="159"/>
      <c r="LTE1" s="159"/>
      <c r="LTF1" s="159"/>
      <c r="LTG1" s="159"/>
      <c r="LTH1" s="159"/>
      <c r="LTI1" s="159"/>
      <c r="LTJ1" s="159"/>
      <c r="LTK1" s="159"/>
      <c r="LTL1" s="159"/>
      <c r="LTM1" s="159"/>
      <c r="LTN1" s="159"/>
      <c r="LTO1" s="159"/>
      <c r="LTP1" s="159"/>
      <c r="LTQ1" s="159"/>
      <c r="LTR1" s="159"/>
      <c r="LTS1" s="159"/>
      <c r="LTT1" s="159"/>
      <c r="LTU1" s="159"/>
      <c r="LTV1" s="159"/>
      <c r="LTW1" s="159"/>
      <c r="LTX1" s="159"/>
      <c r="LTY1" s="159"/>
      <c r="LTZ1" s="159"/>
      <c r="LUA1" s="159"/>
      <c r="LUB1" s="159"/>
      <c r="LUC1" s="159"/>
      <c r="LUD1" s="159"/>
      <c r="LUE1" s="159"/>
      <c r="LUF1" s="159"/>
      <c r="LUG1" s="159"/>
      <c r="LUH1" s="159"/>
      <c r="LUI1" s="159"/>
      <c r="LUJ1" s="159"/>
      <c r="LUK1" s="159"/>
      <c r="LUL1" s="159"/>
      <c r="LUM1" s="159"/>
      <c r="LUN1" s="159"/>
      <c r="LUO1" s="159"/>
      <c r="LUP1" s="159"/>
      <c r="LUQ1" s="159"/>
      <c r="LUR1" s="159"/>
      <c r="LUS1" s="159"/>
      <c r="LUT1" s="159"/>
      <c r="LUU1" s="159"/>
      <c r="LUV1" s="159"/>
      <c r="LUW1" s="159"/>
      <c r="LUX1" s="159"/>
      <c r="LUY1" s="159"/>
      <c r="LUZ1" s="159"/>
      <c r="LVA1" s="159"/>
      <c r="LVB1" s="159"/>
      <c r="LVC1" s="159"/>
      <c r="LVD1" s="159"/>
      <c r="LVE1" s="159"/>
      <c r="LVF1" s="159"/>
      <c r="LVG1" s="159"/>
      <c r="LVH1" s="159"/>
      <c r="LVI1" s="159"/>
      <c r="LVJ1" s="159"/>
      <c r="LVK1" s="159"/>
      <c r="LVL1" s="159"/>
      <c r="LVM1" s="159"/>
      <c r="LVN1" s="159"/>
      <c r="LVO1" s="159"/>
      <c r="LVP1" s="159"/>
      <c r="LVQ1" s="159"/>
      <c r="LVR1" s="159"/>
      <c r="LVS1" s="159"/>
      <c r="LVT1" s="159"/>
      <c r="LVU1" s="159"/>
      <c r="LVV1" s="159"/>
      <c r="LVW1" s="159"/>
      <c r="LVX1" s="159"/>
      <c r="LVY1" s="159"/>
      <c r="LVZ1" s="159"/>
      <c r="LWA1" s="159"/>
      <c r="LWB1" s="159"/>
      <c r="LWC1" s="159"/>
      <c r="LWD1" s="159"/>
      <c r="LWE1" s="159"/>
      <c r="LWF1" s="159"/>
      <c r="LWG1" s="159"/>
      <c r="LWH1" s="159"/>
      <c r="LWI1" s="159"/>
      <c r="LWJ1" s="159"/>
      <c r="LWK1" s="159"/>
      <c r="LWL1" s="159"/>
      <c r="LWM1" s="159"/>
      <c r="LWN1" s="159"/>
      <c r="LWO1" s="159"/>
      <c r="LWP1" s="159"/>
      <c r="LWQ1" s="159"/>
      <c r="LWR1" s="159"/>
      <c r="LWS1" s="159"/>
      <c r="LWT1" s="159"/>
      <c r="LWU1" s="159"/>
      <c r="LWV1" s="159"/>
      <c r="LWW1" s="159"/>
      <c r="LWX1" s="159"/>
      <c r="LWY1" s="159"/>
      <c r="LWZ1" s="159"/>
      <c r="LXA1" s="159"/>
      <c r="LXB1" s="159"/>
      <c r="LXC1" s="159"/>
      <c r="LXD1" s="159"/>
      <c r="LXE1" s="159"/>
      <c r="LXF1" s="159"/>
      <c r="LXG1" s="159"/>
      <c r="LXH1" s="159"/>
      <c r="LXI1" s="159"/>
      <c r="LXJ1" s="159"/>
      <c r="LXK1" s="159"/>
      <c r="LXL1" s="159"/>
      <c r="LXM1" s="159"/>
      <c r="LXN1" s="159"/>
      <c r="LXO1" s="159"/>
      <c r="LXP1" s="159"/>
      <c r="LXQ1" s="159"/>
      <c r="LXR1" s="159"/>
      <c r="LXS1" s="159"/>
      <c r="LXT1" s="159"/>
      <c r="LXU1" s="159"/>
      <c r="LXV1" s="159"/>
      <c r="LXW1" s="159"/>
      <c r="LXX1" s="159"/>
      <c r="LXY1" s="159"/>
      <c r="LXZ1" s="159"/>
      <c r="LYA1" s="159"/>
      <c r="LYB1" s="159"/>
      <c r="LYC1" s="159"/>
      <c r="LYD1" s="159"/>
      <c r="LYE1" s="159"/>
      <c r="LYF1" s="159"/>
      <c r="LYG1" s="159"/>
      <c r="LYH1" s="159"/>
      <c r="LYI1" s="159"/>
      <c r="LYJ1" s="159"/>
      <c r="LYK1" s="159"/>
      <c r="LYL1" s="159"/>
      <c r="LYM1" s="159"/>
      <c r="LYN1" s="159"/>
      <c r="LYO1" s="159"/>
      <c r="LYP1" s="159"/>
      <c r="LYQ1" s="159"/>
      <c r="LYR1" s="159"/>
      <c r="LYS1" s="159"/>
      <c r="LYT1" s="159"/>
      <c r="LYU1" s="159"/>
      <c r="LYV1" s="159"/>
      <c r="LYW1" s="159"/>
      <c r="LYX1" s="159"/>
      <c r="LYY1" s="159"/>
      <c r="LYZ1" s="159"/>
      <c r="LZA1" s="159"/>
      <c r="LZB1" s="159"/>
      <c r="LZC1" s="159"/>
      <c r="LZD1" s="159"/>
      <c r="LZE1" s="159"/>
      <c r="LZF1" s="159"/>
      <c r="LZG1" s="159"/>
      <c r="LZH1" s="159"/>
      <c r="LZI1" s="159"/>
      <c r="LZJ1" s="159"/>
      <c r="LZK1" s="159"/>
      <c r="LZL1" s="159"/>
      <c r="MAW1" s="159"/>
      <c r="MBK1" s="159"/>
      <c r="MBL1" s="159"/>
      <c r="MBM1" s="159"/>
      <c r="MBN1" s="159"/>
      <c r="MBO1" s="159"/>
      <c r="MBP1" s="159"/>
      <c r="MBQ1" s="159"/>
      <c r="MBR1" s="159"/>
      <c r="MBS1" s="159"/>
      <c r="MBT1" s="159"/>
      <c r="MBU1" s="159"/>
      <c r="MBV1" s="159"/>
      <c r="MBW1" s="159"/>
      <c r="MBX1" s="159"/>
      <c r="MBY1" s="159"/>
      <c r="MBZ1" s="159"/>
      <c r="MCA1" s="159"/>
      <c r="MCB1" s="159"/>
      <c r="MCC1" s="159"/>
      <c r="MCD1" s="159"/>
      <c r="MCE1" s="159"/>
      <c r="MCF1" s="159"/>
      <c r="MCG1" s="159"/>
      <c r="MCH1" s="159"/>
      <c r="MCI1" s="159"/>
      <c r="MCJ1" s="159"/>
      <c r="MCK1" s="159"/>
      <c r="MCL1" s="159"/>
      <c r="MCM1" s="159"/>
      <c r="MCN1" s="159"/>
      <c r="MCO1" s="159"/>
      <c r="MCP1" s="159"/>
      <c r="MCQ1" s="159"/>
      <c r="MCR1" s="159"/>
      <c r="MCS1" s="159"/>
      <c r="MCT1" s="159"/>
      <c r="MCU1" s="159"/>
      <c r="MCV1" s="159"/>
      <c r="MCW1" s="159"/>
      <c r="MCX1" s="159"/>
      <c r="MCY1" s="159"/>
      <c r="MCZ1" s="159"/>
      <c r="MDA1" s="159"/>
      <c r="MDB1" s="159"/>
      <c r="MDC1" s="159"/>
      <c r="MDD1" s="159"/>
      <c r="MDE1" s="159"/>
      <c r="MDF1" s="159"/>
      <c r="MDG1" s="159"/>
      <c r="MDH1" s="159"/>
      <c r="MDI1" s="159"/>
      <c r="MDJ1" s="159"/>
      <c r="MDK1" s="159"/>
      <c r="MDL1" s="159"/>
      <c r="MDM1" s="159"/>
      <c r="MDN1" s="159"/>
      <c r="MDO1" s="159"/>
      <c r="MDP1" s="159"/>
      <c r="MDQ1" s="159"/>
      <c r="MDR1" s="159"/>
      <c r="MDS1" s="159"/>
      <c r="MDT1" s="159"/>
      <c r="MDU1" s="159"/>
      <c r="MDV1" s="159"/>
      <c r="MDW1" s="159"/>
      <c r="MDX1" s="159"/>
      <c r="MDY1" s="159"/>
      <c r="MDZ1" s="159"/>
      <c r="MEA1" s="159"/>
      <c r="MEB1" s="159"/>
      <c r="MEC1" s="159"/>
      <c r="MED1" s="159"/>
      <c r="MEE1" s="159"/>
      <c r="MEF1" s="159"/>
      <c r="MEG1" s="159"/>
      <c r="MEH1" s="159"/>
      <c r="MEI1" s="159"/>
      <c r="MEJ1" s="159"/>
      <c r="MEK1" s="159"/>
      <c r="MEL1" s="159"/>
      <c r="MEM1" s="159"/>
      <c r="MEN1" s="159"/>
      <c r="MEO1" s="159"/>
      <c r="MEP1" s="159"/>
      <c r="MEQ1" s="159"/>
      <c r="MER1" s="159"/>
      <c r="MES1" s="159"/>
      <c r="MET1" s="159"/>
      <c r="MEU1" s="159"/>
      <c r="MEV1" s="159"/>
      <c r="MEW1" s="159"/>
      <c r="MEX1" s="159"/>
      <c r="MEY1" s="159"/>
      <c r="MEZ1" s="159"/>
      <c r="MFA1" s="159"/>
      <c r="MFB1" s="159"/>
      <c r="MFC1" s="159"/>
      <c r="MFD1" s="159"/>
      <c r="MFE1" s="159"/>
      <c r="MFF1" s="159"/>
      <c r="MFG1" s="159"/>
      <c r="MFH1" s="159"/>
      <c r="MFI1" s="159"/>
      <c r="MFJ1" s="159"/>
      <c r="MFK1" s="159"/>
      <c r="MFL1" s="159"/>
      <c r="MFM1" s="159"/>
      <c r="MFN1" s="159"/>
      <c r="MFO1" s="159"/>
      <c r="MFP1" s="159"/>
      <c r="MFQ1" s="159"/>
      <c r="MFR1" s="159"/>
      <c r="MFS1" s="159"/>
      <c r="MFT1" s="159"/>
      <c r="MFU1" s="159"/>
      <c r="MFV1" s="159"/>
      <c r="MFW1" s="159"/>
      <c r="MFX1" s="159"/>
      <c r="MFY1" s="159"/>
      <c r="MFZ1" s="159"/>
      <c r="MGA1" s="159"/>
      <c r="MGB1" s="159"/>
      <c r="MGC1" s="159"/>
      <c r="MGD1" s="159"/>
      <c r="MGE1" s="159"/>
      <c r="MGF1" s="159"/>
      <c r="MGG1" s="159"/>
      <c r="MGH1" s="159"/>
      <c r="MGI1" s="159"/>
      <c r="MGJ1" s="159"/>
      <c r="MGK1" s="159"/>
      <c r="MGL1" s="159"/>
      <c r="MGM1" s="159"/>
      <c r="MGN1" s="159"/>
      <c r="MGO1" s="159"/>
      <c r="MGP1" s="159"/>
      <c r="MGQ1" s="159"/>
      <c r="MGR1" s="159"/>
      <c r="MGS1" s="159"/>
      <c r="MGT1" s="159"/>
      <c r="MGU1" s="159"/>
      <c r="MGV1" s="159"/>
      <c r="MGW1" s="159"/>
      <c r="MGX1" s="159"/>
      <c r="MGY1" s="159"/>
      <c r="MGZ1" s="159"/>
      <c r="MHA1" s="159"/>
      <c r="MHB1" s="159"/>
      <c r="MHC1" s="159"/>
      <c r="MHD1" s="159"/>
      <c r="MHE1" s="159"/>
      <c r="MHF1" s="159"/>
      <c r="MHG1" s="159"/>
      <c r="MHH1" s="159"/>
      <c r="MHI1" s="159"/>
      <c r="MHJ1" s="159"/>
      <c r="MHK1" s="159"/>
      <c r="MHL1" s="159"/>
      <c r="MHM1" s="159"/>
      <c r="MHN1" s="159"/>
      <c r="MHO1" s="159"/>
      <c r="MHP1" s="159"/>
      <c r="MHQ1" s="159"/>
      <c r="MHR1" s="159"/>
      <c r="MHS1" s="159"/>
      <c r="MHT1" s="159"/>
      <c r="MHU1" s="159"/>
      <c r="MHV1" s="159"/>
      <c r="MHW1" s="159"/>
      <c r="MHX1" s="159"/>
      <c r="MHY1" s="159"/>
      <c r="MHZ1" s="159"/>
      <c r="MIA1" s="159"/>
      <c r="MIB1" s="159"/>
      <c r="MIC1" s="159"/>
      <c r="MID1" s="159"/>
      <c r="MIE1" s="159"/>
      <c r="MIF1" s="159"/>
      <c r="MIG1" s="159"/>
      <c r="MIH1" s="159"/>
      <c r="MII1" s="159"/>
      <c r="MIJ1" s="159"/>
      <c r="MIK1" s="159"/>
      <c r="MIL1" s="159"/>
      <c r="MIM1" s="159"/>
      <c r="MIN1" s="159"/>
      <c r="MIO1" s="159"/>
      <c r="MIP1" s="159"/>
      <c r="MIQ1" s="159"/>
      <c r="MIR1" s="159"/>
      <c r="MIS1" s="159"/>
      <c r="MIT1" s="159"/>
      <c r="MIU1" s="159"/>
      <c r="MIV1" s="159"/>
      <c r="MIW1" s="159"/>
      <c r="MIX1" s="159"/>
      <c r="MIY1" s="159"/>
      <c r="MIZ1" s="159"/>
      <c r="MJA1" s="159"/>
      <c r="MJB1" s="159"/>
      <c r="MJC1" s="159"/>
      <c r="MJD1" s="159"/>
      <c r="MJE1" s="159"/>
      <c r="MJF1" s="159"/>
      <c r="MJG1" s="159"/>
      <c r="MJH1" s="159"/>
      <c r="MKS1" s="159"/>
      <c r="MLG1" s="159"/>
      <c r="MLH1" s="159"/>
      <c r="MLI1" s="159"/>
      <c r="MLJ1" s="159"/>
      <c r="MLK1" s="159"/>
      <c r="MLL1" s="159"/>
      <c r="MLM1" s="159"/>
      <c r="MLN1" s="159"/>
      <c r="MLO1" s="159"/>
      <c r="MLP1" s="159"/>
      <c r="MLQ1" s="159"/>
      <c r="MLR1" s="159"/>
      <c r="MLS1" s="159"/>
      <c r="MLT1" s="159"/>
      <c r="MLU1" s="159"/>
      <c r="MLV1" s="159"/>
      <c r="MLW1" s="159"/>
      <c r="MLX1" s="159"/>
      <c r="MLY1" s="159"/>
      <c r="MLZ1" s="159"/>
      <c r="MMA1" s="159"/>
      <c r="MMB1" s="159"/>
      <c r="MMC1" s="159"/>
      <c r="MMD1" s="159"/>
      <c r="MME1" s="159"/>
      <c r="MMF1" s="159"/>
      <c r="MMG1" s="159"/>
      <c r="MMH1" s="159"/>
      <c r="MMI1" s="159"/>
      <c r="MMJ1" s="159"/>
      <c r="MMK1" s="159"/>
      <c r="MML1" s="159"/>
      <c r="MMM1" s="159"/>
      <c r="MMN1" s="159"/>
      <c r="MMO1" s="159"/>
      <c r="MMP1" s="159"/>
      <c r="MMQ1" s="159"/>
      <c r="MMR1" s="159"/>
      <c r="MMS1" s="159"/>
      <c r="MMT1" s="159"/>
      <c r="MMU1" s="159"/>
      <c r="MMV1" s="159"/>
      <c r="MMW1" s="159"/>
      <c r="MMX1" s="159"/>
      <c r="MMY1" s="159"/>
      <c r="MMZ1" s="159"/>
      <c r="MNA1" s="159"/>
      <c r="MNB1" s="159"/>
      <c r="MNC1" s="159"/>
      <c r="MND1" s="159"/>
      <c r="MNE1" s="159"/>
      <c r="MNF1" s="159"/>
      <c r="MNG1" s="159"/>
      <c r="MNH1" s="159"/>
      <c r="MNI1" s="159"/>
      <c r="MNJ1" s="159"/>
      <c r="MNK1" s="159"/>
      <c r="MNL1" s="159"/>
      <c r="MNM1" s="159"/>
      <c r="MNN1" s="159"/>
      <c r="MNO1" s="159"/>
      <c r="MNP1" s="159"/>
      <c r="MNQ1" s="159"/>
      <c r="MNR1" s="159"/>
      <c r="MNS1" s="159"/>
      <c r="MNT1" s="159"/>
      <c r="MNU1" s="159"/>
      <c r="MNV1" s="159"/>
      <c r="MNW1" s="159"/>
      <c r="MNX1" s="159"/>
      <c r="MNY1" s="159"/>
      <c r="MNZ1" s="159"/>
      <c r="MOA1" s="159"/>
      <c r="MOB1" s="159"/>
      <c r="MOC1" s="159"/>
      <c r="MOD1" s="159"/>
      <c r="MOE1" s="159"/>
      <c r="MOF1" s="159"/>
      <c r="MOG1" s="159"/>
      <c r="MOH1" s="159"/>
      <c r="MOI1" s="159"/>
      <c r="MOJ1" s="159"/>
      <c r="MOK1" s="159"/>
      <c r="MOL1" s="159"/>
      <c r="MOM1" s="159"/>
      <c r="MON1" s="159"/>
      <c r="MOO1" s="159"/>
      <c r="MOP1" s="159"/>
      <c r="MOQ1" s="159"/>
      <c r="MOR1" s="159"/>
      <c r="MOS1" s="159"/>
      <c r="MOT1" s="159"/>
      <c r="MOU1" s="159"/>
      <c r="MOV1" s="159"/>
      <c r="MOW1" s="159"/>
      <c r="MOX1" s="159"/>
      <c r="MOY1" s="159"/>
      <c r="MOZ1" s="159"/>
      <c r="MPA1" s="159"/>
      <c r="MPB1" s="159"/>
      <c r="MPC1" s="159"/>
      <c r="MPD1" s="159"/>
      <c r="MPE1" s="159"/>
      <c r="MPF1" s="159"/>
      <c r="MPG1" s="159"/>
      <c r="MPH1" s="159"/>
      <c r="MPI1" s="159"/>
      <c r="MPJ1" s="159"/>
      <c r="MPK1" s="159"/>
      <c r="MPL1" s="159"/>
      <c r="MPM1" s="159"/>
      <c r="MPN1" s="159"/>
      <c r="MPO1" s="159"/>
      <c r="MPP1" s="159"/>
      <c r="MPQ1" s="159"/>
      <c r="MPR1" s="159"/>
      <c r="MPS1" s="159"/>
      <c r="MPT1" s="159"/>
      <c r="MPU1" s="159"/>
      <c r="MPV1" s="159"/>
      <c r="MPW1" s="159"/>
      <c r="MPX1" s="159"/>
      <c r="MPY1" s="159"/>
      <c r="MPZ1" s="159"/>
      <c r="MQA1" s="159"/>
      <c r="MQB1" s="159"/>
      <c r="MQC1" s="159"/>
      <c r="MQD1" s="159"/>
      <c r="MQE1" s="159"/>
      <c r="MQF1" s="159"/>
      <c r="MQG1" s="159"/>
      <c r="MQH1" s="159"/>
      <c r="MQI1" s="159"/>
      <c r="MQJ1" s="159"/>
      <c r="MQK1" s="159"/>
      <c r="MQL1" s="159"/>
      <c r="MQM1" s="159"/>
      <c r="MQN1" s="159"/>
      <c r="MQO1" s="159"/>
      <c r="MQP1" s="159"/>
      <c r="MQQ1" s="159"/>
      <c r="MQR1" s="159"/>
      <c r="MQS1" s="159"/>
      <c r="MQT1" s="159"/>
      <c r="MQU1" s="159"/>
      <c r="MQV1" s="159"/>
      <c r="MQW1" s="159"/>
      <c r="MQX1" s="159"/>
      <c r="MQY1" s="159"/>
      <c r="MQZ1" s="159"/>
      <c r="MRA1" s="159"/>
      <c r="MRB1" s="159"/>
      <c r="MRC1" s="159"/>
      <c r="MRD1" s="159"/>
      <c r="MRE1" s="159"/>
      <c r="MRF1" s="159"/>
      <c r="MRG1" s="159"/>
      <c r="MRH1" s="159"/>
      <c r="MRI1" s="159"/>
      <c r="MRJ1" s="159"/>
      <c r="MRK1" s="159"/>
      <c r="MRL1" s="159"/>
      <c r="MRM1" s="159"/>
      <c r="MRN1" s="159"/>
      <c r="MRO1" s="159"/>
      <c r="MRP1" s="159"/>
      <c r="MRQ1" s="159"/>
      <c r="MRR1" s="159"/>
      <c r="MRS1" s="159"/>
      <c r="MRT1" s="159"/>
      <c r="MRU1" s="159"/>
      <c r="MRV1" s="159"/>
      <c r="MRW1" s="159"/>
      <c r="MRX1" s="159"/>
      <c r="MRY1" s="159"/>
      <c r="MRZ1" s="159"/>
      <c r="MSA1" s="159"/>
      <c r="MSB1" s="159"/>
      <c r="MSC1" s="159"/>
      <c r="MSD1" s="159"/>
      <c r="MSE1" s="159"/>
      <c r="MSF1" s="159"/>
      <c r="MSG1" s="159"/>
      <c r="MSH1" s="159"/>
      <c r="MSI1" s="159"/>
      <c r="MSJ1" s="159"/>
      <c r="MSK1" s="159"/>
      <c r="MSL1" s="159"/>
      <c r="MSM1" s="159"/>
      <c r="MSN1" s="159"/>
      <c r="MSO1" s="159"/>
      <c r="MSP1" s="159"/>
      <c r="MSQ1" s="159"/>
      <c r="MSR1" s="159"/>
      <c r="MSS1" s="159"/>
      <c r="MST1" s="159"/>
      <c r="MSU1" s="159"/>
      <c r="MSV1" s="159"/>
      <c r="MSW1" s="159"/>
      <c r="MSX1" s="159"/>
      <c r="MSY1" s="159"/>
      <c r="MSZ1" s="159"/>
      <c r="MTA1" s="159"/>
      <c r="MTB1" s="159"/>
      <c r="MTC1" s="159"/>
      <c r="MTD1" s="159"/>
      <c r="MUO1" s="159"/>
      <c r="MVC1" s="159"/>
      <c r="MVD1" s="159"/>
      <c r="MVE1" s="159"/>
      <c r="MVF1" s="159"/>
      <c r="MVG1" s="159"/>
      <c r="MVH1" s="159"/>
      <c r="MVI1" s="159"/>
      <c r="MVJ1" s="159"/>
      <c r="MVK1" s="159"/>
      <c r="MVL1" s="159"/>
      <c r="MVM1" s="159"/>
      <c r="MVN1" s="159"/>
      <c r="MVO1" s="159"/>
      <c r="MVP1" s="159"/>
      <c r="MVQ1" s="159"/>
      <c r="MVR1" s="159"/>
      <c r="MVS1" s="159"/>
      <c r="MVT1" s="159"/>
      <c r="MVU1" s="159"/>
      <c r="MVV1" s="159"/>
      <c r="MVW1" s="159"/>
      <c r="MVX1" s="159"/>
      <c r="MVY1" s="159"/>
      <c r="MVZ1" s="159"/>
      <c r="MWA1" s="159"/>
      <c r="MWB1" s="159"/>
      <c r="MWC1" s="159"/>
      <c r="MWD1" s="159"/>
      <c r="MWE1" s="159"/>
      <c r="MWF1" s="159"/>
      <c r="MWG1" s="159"/>
      <c r="MWH1" s="159"/>
      <c r="MWI1" s="159"/>
      <c r="MWJ1" s="159"/>
      <c r="MWK1" s="159"/>
      <c r="MWL1" s="159"/>
      <c r="MWM1" s="159"/>
      <c r="MWN1" s="159"/>
      <c r="MWO1" s="159"/>
      <c r="MWP1" s="159"/>
      <c r="MWQ1" s="159"/>
      <c r="MWR1" s="159"/>
      <c r="MWS1" s="159"/>
      <c r="MWT1" s="159"/>
      <c r="MWU1" s="159"/>
      <c r="MWV1" s="159"/>
      <c r="MWW1" s="159"/>
      <c r="MWX1" s="159"/>
      <c r="MWY1" s="159"/>
      <c r="MWZ1" s="159"/>
      <c r="MXA1" s="159"/>
      <c r="MXB1" s="159"/>
      <c r="MXC1" s="159"/>
      <c r="MXD1" s="159"/>
      <c r="MXE1" s="159"/>
      <c r="MXF1" s="159"/>
      <c r="MXG1" s="159"/>
      <c r="MXH1" s="159"/>
      <c r="MXI1" s="159"/>
      <c r="MXJ1" s="159"/>
      <c r="MXK1" s="159"/>
      <c r="MXL1" s="159"/>
      <c r="MXM1" s="159"/>
      <c r="MXN1" s="159"/>
      <c r="MXO1" s="159"/>
      <c r="MXP1" s="159"/>
      <c r="MXQ1" s="159"/>
      <c r="MXR1" s="159"/>
      <c r="MXS1" s="159"/>
      <c r="MXT1" s="159"/>
      <c r="MXU1" s="159"/>
      <c r="MXV1" s="159"/>
      <c r="MXW1" s="159"/>
      <c r="MXX1" s="159"/>
      <c r="MXY1" s="159"/>
      <c r="MXZ1" s="159"/>
      <c r="MYA1" s="159"/>
      <c r="MYB1" s="159"/>
      <c r="MYC1" s="159"/>
      <c r="MYD1" s="159"/>
      <c r="MYE1" s="159"/>
      <c r="MYF1" s="159"/>
      <c r="MYG1" s="159"/>
      <c r="MYH1" s="159"/>
      <c r="MYI1" s="159"/>
      <c r="MYJ1" s="159"/>
      <c r="MYK1" s="159"/>
      <c r="MYL1" s="159"/>
      <c r="MYM1" s="159"/>
      <c r="MYN1" s="159"/>
      <c r="MYO1" s="159"/>
      <c r="MYP1" s="159"/>
      <c r="MYQ1" s="159"/>
      <c r="MYR1" s="159"/>
      <c r="MYS1" s="159"/>
      <c r="MYT1" s="159"/>
      <c r="MYU1" s="159"/>
      <c r="MYV1" s="159"/>
      <c r="MYW1" s="159"/>
      <c r="MYX1" s="159"/>
      <c r="MYY1" s="159"/>
      <c r="MYZ1" s="159"/>
      <c r="MZA1" s="159"/>
      <c r="MZB1" s="159"/>
      <c r="MZC1" s="159"/>
      <c r="MZD1" s="159"/>
      <c r="MZE1" s="159"/>
      <c r="MZF1" s="159"/>
      <c r="MZG1" s="159"/>
      <c r="MZH1" s="159"/>
      <c r="MZI1" s="159"/>
      <c r="MZJ1" s="159"/>
      <c r="MZK1" s="159"/>
      <c r="MZL1" s="159"/>
      <c r="MZM1" s="159"/>
      <c r="MZN1" s="159"/>
      <c r="MZO1" s="159"/>
      <c r="MZP1" s="159"/>
      <c r="MZQ1" s="159"/>
      <c r="MZR1" s="159"/>
      <c r="MZS1" s="159"/>
      <c r="MZT1" s="159"/>
      <c r="MZU1" s="159"/>
      <c r="MZV1" s="159"/>
      <c r="MZW1" s="159"/>
      <c r="MZX1" s="159"/>
      <c r="MZY1" s="159"/>
      <c r="MZZ1" s="159"/>
      <c r="NAA1" s="159"/>
      <c r="NAB1" s="159"/>
      <c r="NAC1" s="159"/>
      <c r="NAD1" s="159"/>
      <c r="NAE1" s="159"/>
      <c r="NAF1" s="159"/>
      <c r="NAG1" s="159"/>
      <c r="NAH1" s="159"/>
      <c r="NAI1" s="159"/>
      <c r="NAJ1" s="159"/>
      <c r="NAK1" s="159"/>
      <c r="NAL1" s="159"/>
      <c r="NAM1" s="159"/>
      <c r="NAN1" s="159"/>
      <c r="NAO1" s="159"/>
      <c r="NAP1" s="159"/>
      <c r="NAQ1" s="159"/>
      <c r="NAR1" s="159"/>
      <c r="NAS1" s="159"/>
      <c r="NAT1" s="159"/>
      <c r="NAU1" s="159"/>
      <c r="NAV1" s="159"/>
      <c r="NAW1" s="159"/>
      <c r="NAX1" s="159"/>
      <c r="NAY1" s="159"/>
      <c r="NAZ1" s="159"/>
      <c r="NBA1" s="159"/>
      <c r="NBB1" s="159"/>
      <c r="NBC1" s="159"/>
      <c r="NBD1" s="159"/>
      <c r="NBE1" s="159"/>
      <c r="NBF1" s="159"/>
      <c r="NBG1" s="159"/>
      <c r="NBH1" s="159"/>
      <c r="NBI1" s="159"/>
      <c r="NBJ1" s="159"/>
      <c r="NBK1" s="159"/>
      <c r="NBL1" s="159"/>
      <c r="NBM1" s="159"/>
      <c r="NBN1" s="159"/>
      <c r="NBO1" s="159"/>
      <c r="NBP1" s="159"/>
      <c r="NBQ1" s="159"/>
      <c r="NBR1" s="159"/>
      <c r="NBS1" s="159"/>
      <c r="NBT1" s="159"/>
      <c r="NBU1" s="159"/>
      <c r="NBV1" s="159"/>
      <c r="NBW1" s="159"/>
      <c r="NBX1" s="159"/>
      <c r="NBY1" s="159"/>
      <c r="NBZ1" s="159"/>
      <c r="NCA1" s="159"/>
      <c r="NCB1" s="159"/>
      <c r="NCC1" s="159"/>
      <c r="NCD1" s="159"/>
      <c r="NCE1" s="159"/>
      <c r="NCF1" s="159"/>
      <c r="NCG1" s="159"/>
      <c r="NCH1" s="159"/>
      <c r="NCI1" s="159"/>
      <c r="NCJ1" s="159"/>
      <c r="NCK1" s="159"/>
      <c r="NCL1" s="159"/>
      <c r="NCM1" s="159"/>
      <c r="NCN1" s="159"/>
      <c r="NCO1" s="159"/>
      <c r="NCP1" s="159"/>
      <c r="NCQ1" s="159"/>
      <c r="NCR1" s="159"/>
      <c r="NCS1" s="159"/>
      <c r="NCT1" s="159"/>
      <c r="NCU1" s="159"/>
      <c r="NCV1" s="159"/>
      <c r="NCW1" s="159"/>
      <c r="NCX1" s="159"/>
      <c r="NCY1" s="159"/>
      <c r="NCZ1" s="159"/>
      <c r="NEK1" s="159"/>
      <c r="NEY1" s="159"/>
      <c r="NEZ1" s="159"/>
      <c r="NFA1" s="159"/>
      <c r="NFB1" s="159"/>
      <c r="NFC1" s="159"/>
      <c r="NFD1" s="159"/>
      <c r="NFE1" s="159"/>
      <c r="NFF1" s="159"/>
      <c r="NFG1" s="159"/>
      <c r="NFH1" s="159"/>
      <c r="NFI1" s="159"/>
      <c r="NFJ1" s="159"/>
      <c r="NFK1" s="159"/>
      <c r="NFL1" s="159"/>
      <c r="NFM1" s="159"/>
      <c r="NFN1" s="159"/>
      <c r="NFO1" s="159"/>
      <c r="NFP1" s="159"/>
      <c r="NFQ1" s="159"/>
      <c r="NFR1" s="159"/>
      <c r="NFS1" s="159"/>
      <c r="NFT1" s="159"/>
      <c r="NFU1" s="159"/>
      <c r="NFV1" s="159"/>
      <c r="NFW1" s="159"/>
      <c r="NFX1" s="159"/>
      <c r="NFY1" s="159"/>
      <c r="NFZ1" s="159"/>
      <c r="NGA1" s="159"/>
      <c r="NGB1" s="159"/>
      <c r="NGC1" s="159"/>
      <c r="NGD1" s="159"/>
      <c r="NGE1" s="159"/>
      <c r="NGF1" s="159"/>
      <c r="NGG1" s="159"/>
      <c r="NGH1" s="159"/>
      <c r="NGI1" s="159"/>
      <c r="NGJ1" s="159"/>
      <c r="NGK1" s="159"/>
      <c r="NGL1" s="159"/>
      <c r="NGM1" s="159"/>
      <c r="NGN1" s="159"/>
      <c r="NGO1" s="159"/>
      <c r="NGP1" s="159"/>
      <c r="NGQ1" s="159"/>
      <c r="NGR1" s="159"/>
      <c r="NGS1" s="159"/>
      <c r="NGT1" s="159"/>
      <c r="NGU1" s="159"/>
      <c r="NGV1" s="159"/>
      <c r="NGW1" s="159"/>
      <c r="NGX1" s="159"/>
      <c r="NGY1" s="159"/>
      <c r="NGZ1" s="159"/>
      <c r="NHA1" s="159"/>
      <c r="NHB1" s="159"/>
      <c r="NHC1" s="159"/>
      <c r="NHD1" s="159"/>
      <c r="NHE1" s="159"/>
      <c r="NHF1" s="159"/>
      <c r="NHG1" s="159"/>
      <c r="NHH1" s="159"/>
      <c r="NHI1" s="159"/>
      <c r="NHJ1" s="159"/>
      <c r="NHK1" s="159"/>
      <c r="NHL1" s="159"/>
      <c r="NHM1" s="159"/>
      <c r="NHN1" s="159"/>
      <c r="NHO1" s="159"/>
      <c r="NHP1" s="159"/>
      <c r="NHQ1" s="159"/>
      <c r="NHR1" s="159"/>
      <c r="NHS1" s="159"/>
      <c r="NHT1" s="159"/>
      <c r="NHU1" s="159"/>
      <c r="NHV1" s="159"/>
      <c r="NHW1" s="159"/>
      <c r="NHX1" s="159"/>
      <c r="NHY1" s="159"/>
      <c r="NHZ1" s="159"/>
      <c r="NIA1" s="159"/>
      <c r="NIB1" s="159"/>
      <c r="NIC1" s="159"/>
      <c r="NID1" s="159"/>
      <c r="NIE1" s="159"/>
      <c r="NIF1" s="159"/>
      <c r="NIG1" s="159"/>
      <c r="NIH1" s="159"/>
      <c r="NII1" s="159"/>
      <c r="NIJ1" s="159"/>
      <c r="NIK1" s="159"/>
      <c r="NIL1" s="159"/>
      <c r="NIM1" s="159"/>
      <c r="NIN1" s="159"/>
      <c r="NIO1" s="159"/>
      <c r="NIP1" s="159"/>
      <c r="NIQ1" s="159"/>
      <c r="NIR1" s="159"/>
      <c r="NIS1" s="159"/>
      <c r="NIT1" s="159"/>
      <c r="NIU1" s="159"/>
      <c r="NIV1" s="159"/>
      <c r="NIW1" s="159"/>
      <c r="NIX1" s="159"/>
      <c r="NIY1" s="159"/>
      <c r="NIZ1" s="159"/>
      <c r="NJA1" s="159"/>
      <c r="NJB1" s="159"/>
      <c r="NJC1" s="159"/>
      <c r="NJD1" s="159"/>
      <c r="NJE1" s="159"/>
      <c r="NJF1" s="159"/>
      <c r="NJG1" s="159"/>
      <c r="NJH1" s="159"/>
      <c r="NJI1" s="159"/>
      <c r="NJJ1" s="159"/>
      <c r="NJK1" s="159"/>
      <c r="NJL1" s="159"/>
      <c r="NJM1" s="159"/>
      <c r="NJN1" s="159"/>
      <c r="NJO1" s="159"/>
      <c r="NJP1" s="159"/>
      <c r="NJQ1" s="159"/>
      <c r="NJR1" s="159"/>
      <c r="NJS1" s="159"/>
      <c r="NJT1" s="159"/>
      <c r="NJU1" s="159"/>
      <c r="NJV1" s="159"/>
      <c r="NJW1" s="159"/>
      <c r="NJX1" s="159"/>
      <c r="NJY1" s="159"/>
      <c r="NJZ1" s="159"/>
      <c r="NKA1" s="159"/>
      <c r="NKB1" s="159"/>
      <c r="NKC1" s="159"/>
      <c r="NKD1" s="159"/>
      <c r="NKE1" s="159"/>
      <c r="NKF1" s="159"/>
      <c r="NKG1" s="159"/>
      <c r="NKH1" s="159"/>
      <c r="NKI1" s="159"/>
      <c r="NKJ1" s="159"/>
      <c r="NKK1" s="159"/>
      <c r="NKL1" s="159"/>
      <c r="NKM1" s="159"/>
      <c r="NKN1" s="159"/>
      <c r="NKO1" s="159"/>
      <c r="NKP1" s="159"/>
      <c r="NKQ1" s="159"/>
      <c r="NKR1" s="159"/>
      <c r="NKS1" s="159"/>
      <c r="NKT1" s="159"/>
      <c r="NKU1" s="159"/>
      <c r="NKV1" s="159"/>
      <c r="NKW1" s="159"/>
      <c r="NKX1" s="159"/>
      <c r="NKY1" s="159"/>
      <c r="NKZ1" s="159"/>
      <c r="NLA1" s="159"/>
      <c r="NLB1" s="159"/>
      <c r="NLC1" s="159"/>
      <c r="NLD1" s="159"/>
      <c r="NLE1" s="159"/>
      <c r="NLF1" s="159"/>
      <c r="NLG1" s="159"/>
      <c r="NLH1" s="159"/>
      <c r="NLI1" s="159"/>
      <c r="NLJ1" s="159"/>
      <c r="NLK1" s="159"/>
      <c r="NLL1" s="159"/>
      <c r="NLM1" s="159"/>
      <c r="NLN1" s="159"/>
      <c r="NLO1" s="159"/>
      <c r="NLP1" s="159"/>
      <c r="NLQ1" s="159"/>
      <c r="NLR1" s="159"/>
      <c r="NLS1" s="159"/>
      <c r="NLT1" s="159"/>
      <c r="NLU1" s="159"/>
      <c r="NLV1" s="159"/>
      <c r="NLW1" s="159"/>
      <c r="NLX1" s="159"/>
      <c r="NLY1" s="159"/>
      <c r="NLZ1" s="159"/>
      <c r="NMA1" s="159"/>
      <c r="NMB1" s="159"/>
      <c r="NMC1" s="159"/>
      <c r="NMD1" s="159"/>
      <c r="NME1" s="159"/>
      <c r="NMF1" s="159"/>
      <c r="NMG1" s="159"/>
      <c r="NMH1" s="159"/>
      <c r="NMI1" s="159"/>
      <c r="NMJ1" s="159"/>
      <c r="NMK1" s="159"/>
      <c r="NML1" s="159"/>
      <c r="NMM1" s="159"/>
      <c r="NMN1" s="159"/>
      <c r="NMO1" s="159"/>
      <c r="NMP1" s="159"/>
      <c r="NMQ1" s="159"/>
      <c r="NMR1" s="159"/>
      <c r="NMS1" s="159"/>
      <c r="NMT1" s="159"/>
      <c r="NMU1" s="159"/>
      <c r="NMV1" s="159"/>
      <c r="NOG1" s="159"/>
      <c r="NOU1" s="159"/>
      <c r="NOV1" s="159"/>
      <c r="NOW1" s="159"/>
      <c r="NOX1" s="159"/>
      <c r="NOY1" s="159"/>
      <c r="NOZ1" s="159"/>
      <c r="NPA1" s="159"/>
      <c r="NPB1" s="159"/>
      <c r="NPC1" s="159"/>
      <c r="NPD1" s="159"/>
      <c r="NPE1" s="159"/>
      <c r="NPF1" s="159"/>
      <c r="NPG1" s="159"/>
      <c r="NPH1" s="159"/>
      <c r="NPI1" s="159"/>
      <c r="NPJ1" s="159"/>
      <c r="NPK1" s="159"/>
      <c r="NPL1" s="159"/>
      <c r="NPM1" s="159"/>
      <c r="NPN1" s="159"/>
      <c r="NPO1" s="159"/>
      <c r="NPP1" s="159"/>
      <c r="NPQ1" s="159"/>
      <c r="NPR1" s="159"/>
      <c r="NPS1" s="159"/>
      <c r="NPT1" s="159"/>
      <c r="NPU1" s="159"/>
      <c r="NPV1" s="159"/>
      <c r="NPW1" s="159"/>
      <c r="NPX1" s="159"/>
      <c r="NPY1" s="159"/>
      <c r="NPZ1" s="159"/>
      <c r="NQA1" s="159"/>
      <c r="NQB1" s="159"/>
      <c r="NQC1" s="159"/>
      <c r="NQD1" s="159"/>
      <c r="NQE1" s="159"/>
      <c r="NQF1" s="159"/>
      <c r="NQG1" s="159"/>
      <c r="NQH1" s="159"/>
      <c r="NQI1" s="159"/>
      <c r="NQJ1" s="159"/>
      <c r="NQK1" s="159"/>
      <c r="NQL1" s="159"/>
      <c r="NQM1" s="159"/>
      <c r="NQN1" s="159"/>
      <c r="NQO1" s="159"/>
      <c r="NQP1" s="159"/>
      <c r="NQQ1" s="159"/>
      <c r="NQR1" s="159"/>
      <c r="NQS1" s="159"/>
      <c r="NQT1" s="159"/>
      <c r="NQU1" s="159"/>
      <c r="NQV1" s="159"/>
      <c r="NQW1" s="159"/>
      <c r="NQX1" s="159"/>
      <c r="NQY1" s="159"/>
      <c r="NQZ1" s="159"/>
      <c r="NRA1" s="159"/>
      <c r="NRB1" s="159"/>
      <c r="NRC1" s="159"/>
      <c r="NRD1" s="159"/>
      <c r="NRE1" s="159"/>
      <c r="NRF1" s="159"/>
      <c r="NRG1" s="159"/>
      <c r="NRH1" s="159"/>
      <c r="NRI1" s="159"/>
      <c r="NRJ1" s="159"/>
      <c r="NRK1" s="159"/>
      <c r="NRL1" s="159"/>
      <c r="NRM1" s="159"/>
      <c r="NRN1" s="159"/>
      <c r="NRO1" s="159"/>
      <c r="NRP1" s="159"/>
      <c r="NRQ1" s="159"/>
      <c r="NRR1" s="159"/>
      <c r="NRS1" s="159"/>
      <c r="NRT1" s="159"/>
      <c r="NRU1" s="159"/>
      <c r="NRV1" s="159"/>
      <c r="NRW1" s="159"/>
      <c r="NRX1" s="159"/>
      <c r="NRY1" s="159"/>
      <c r="NRZ1" s="159"/>
      <c r="NSA1" s="159"/>
      <c r="NSB1" s="159"/>
      <c r="NSC1" s="159"/>
      <c r="NSD1" s="159"/>
      <c r="NSE1" s="159"/>
      <c r="NSF1" s="159"/>
      <c r="NSG1" s="159"/>
      <c r="NSH1" s="159"/>
      <c r="NSI1" s="159"/>
      <c r="NSJ1" s="159"/>
      <c r="NSK1" s="159"/>
      <c r="NSL1" s="159"/>
      <c r="NSM1" s="159"/>
      <c r="NSN1" s="159"/>
      <c r="NSO1" s="159"/>
      <c r="NSP1" s="159"/>
      <c r="NSQ1" s="159"/>
      <c r="NSR1" s="159"/>
      <c r="NSS1" s="159"/>
      <c r="NST1" s="159"/>
      <c r="NSU1" s="159"/>
      <c r="NSV1" s="159"/>
      <c r="NSW1" s="159"/>
      <c r="NSX1" s="159"/>
      <c r="NSY1" s="159"/>
      <c r="NSZ1" s="159"/>
      <c r="NTA1" s="159"/>
      <c r="NTB1" s="159"/>
      <c r="NTC1" s="159"/>
      <c r="NTD1" s="159"/>
      <c r="NTE1" s="159"/>
      <c r="NTF1" s="159"/>
      <c r="NTG1" s="159"/>
      <c r="NTH1" s="159"/>
      <c r="NTI1" s="159"/>
      <c r="NTJ1" s="159"/>
      <c r="NTK1" s="159"/>
      <c r="NTL1" s="159"/>
      <c r="NTM1" s="159"/>
      <c r="NTN1" s="159"/>
      <c r="NTO1" s="159"/>
      <c r="NTP1" s="159"/>
      <c r="NTQ1" s="159"/>
      <c r="NTR1" s="159"/>
      <c r="NTS1" s="159"/>
      <c r="NTT1" s="159"/>
      <c r="NTU1" s="159"/>
      <c r="NTV1" s="159"/>
      <c r="NTW1" s="159"/>
      <c r="NTX1" s="159"/>
      <c r="NTY1" s="159"/>
      <c r="NTZ1" s="159"/>
      <c r="NUA1" s="159"/>
      <c r="NUB1" s="159"/>
      <c r="NUC1" s="159"/>
      <c r="NUD1" s="159"/>
      <c r="NUE1" s="159"/>
      <c r="NUF1" s="159"/>
      <c r="NUG1" s="159"/>
      <c r="NUH1" s="159"/>
      <c r="NUI1" s="159"/>
      <c r="NUJ1" s="159"/>
      <c r="NUK1" s="159"/>
      <c r="NUL1" s="159"/>
      <c r="NUM1" s="159"/>
      <c r="NUN1" s="159"/>
      <c r="NUO1" s="159"/>
      <c r="NUP1" s="159"/>
      <c r="NUQ1" s="159"/>
      <c r="NUR1" s="159"/>
      <c r="NUS1" s="159"/>
      <c r="NUT1" s="159"/>
      <c r="NUU1" s="159"/>
      <c r="NUV1" s="159"/>
      <c r="NUW1" s="159"/>
      <c r="NUX1" s="159"/>
      <c r="NUY1" s="159"/>
      <c r="NUZ1" s="159"/>
      <c r="NVA1" s="159"/>
      <c r="NVB1" s="159"/>
      <c r="NVC1" s="159"/>
      <c r="NVD1" s="159"/>
      <c r="NVE1" s="159"/>
      <c r="NVF1" s="159"/>
      <c r="NVG1" s="159"/>
      <c r="NVH1" s="159"/>
      <c r="NVI1" s="159"/>
      <c r="NVJ1" s="159"/>
      <c r="NVK1" s="159"/>
      <c r="NVL1" s="159"/>
      <c r="NVM1" s="159"/>
      <c r="NVN1" s="159"/>
      <c r="NVO1" s="159"/>
      <c r="NVP1" s="159"/>
      <c r="NVQ1" s="159"/>
      <c r="NVR1" s="159"/>
      <c r="NVS1" s="159"/>
      <c r="NVT1" s="159"/>
      <c r="NVU1" s="159"/>
      <c r="NVV1" s="159"/>
      <c r="NVW1" s="159"/>
      <c r="NVX1" s="159"/>
      <c r="NVY1" s="159"/>
      <c r="NVZ1" s="159"/>
      <c r="NWA1" s="159"/>
      <c r="NWB1" s="159"/>
      <c r="NWC1" s="159"/>
      <c r="NWD1" s="159"/>
      <c r="NWE1" s="159"/>
      <c r="NWF1" s="159"/>
      <c r="NWG1" s="159"/>
      <c r="NWH1" s="159"/>
      <c r="NWI1" s="159"/>
      <c r="NWJ1" s="159"/>
      <c r="NWK1" s="159"/>
      <c r="NWL1" s="159"/>
      <c r="NWM1" s="159"/>
      <c r="NWN1" s="159"/>
      <c r="NWO1" s="159"/>
      <c r="NWP1" s="159"/>
      <c r="NWQ1" s="159"/>
      <c r="NWR1" s="159"/>
      <c r="NYC1" s="159"/>
      <c r="NYQ1" s="159"/>
      <c r="NYR1" s="159"/>
      <c r="NYS1" s="159"/>
      <c r="NYT1" s="159"/>
      <c r="NYU1" s="159"/>
      <c r="NYV1" s="159"/>
      <c r="NYW1" s="159"/>
      <c r="NYX1" s="159"/>
      <c r="NYY1" s="159"/>
      <c r="NYZ1" s="159"/>
      <c r="NZA1" s="159"/>
      <c r="NZB1" s="159"/>
      <c r="NZC1" s="159"/>
      <c r="NZD1" s="159"/>
      <c r="NZE1" s="159"/>
      <c r="NZF1" s="159"/>
      <c r="NZG1" s="159"/>
      <c r="NZH1" s="159"/>
      <c r="NZI1" s="159"/>
      <c r="NZJ1" s="159"/>
      <c r="NZK1" s="159"/>
      <c r="NZL1" s="159"/>
      <c r="NZM1" s="159"/>
      <c r="NZN1" s="159"/>
      <c r="NZO1" s="159"/>
      <c r="NZP1" s="159"/>
      <c r="NZQ1" s="159"/>
      <c r="NZR1" s="159"/>
      <c r="NZS1" s="159"/>
      <c r="NZT1" s="159"/>
      <c r="NZU1" s="159"/>
      <c r="NZV1" s="159"/>
      <c r="NZW1" s="159"/>
      <c r="NZX1" s="159"/>
      <c r="NZY1" s="159"/>
      <c r="NZZ1" s="159"/>
      <c r="OAA1" s="159"/>
      <c r="OAB1" s="159"/>
      <c r="OAC1" s="159"/>
      <c r="OAD1" s="159"/>
      <c r="OAE1" s="159"/>
      <c r="OAF1" s="159"/>
      <c r="OAG1" s="159"/>
      <c r="OAH1" s="159"/>
      <c r="OAI1" s="159"/>
      <c r="OAJ1" s="159"/>
      <c r="OAK1" s="159"/>
      <c r="OAL1" s="159"/>
      <c r="OAM1" s="159"/>
      <c r="OAN1" s="159"/>
      <c r="OAO1" s="159"/>
      <c r="OAP1" s="159"/>
      <c r="OAQ1" s="159"/>
      <c r="OAR1" s="159"/>
      <c r="OAS1" s="159"/>
      <c r="OAT1" s="159"/>
      <c r="OAU1" s="159"/>
      <c r="OAV1" s="159"/>
      <c r="OAW1" s="159"/>
      <c r="OAX1" s="159"/>
      <c r="OAY1" s="159"/>
      <c r="OAZ1" s="159"/>
      <c r="OBA1" s="159"/>
      <c r="OBB1" s="159"/>
      <c r="OBC1" s="159"/>
      <c r="OBD1" s="159"/>
      <c r="OBE1" s="159"/>
      <c r="OBF1" s="159"/>
      <c r="OBG1" s="159"/>
      <c r="OBH1" s="159"/>
      <c r="OBI1" s="159"/>
      <c r="OBJ1" s="159"/>
      <c r="OBK1" s="159"/>
      <c r="OBL1" s="159"/>
      <c r="OBM1" s="159"/>
      <c r="OBN1" s="159"/>
      <c r="OBO1" s="159"/>
      <c r="OBP1" s="159"/>
      <c r="OBQ1" s="159"/>
      <c r="OBR1" s="159"/>
      <c r="OBS1" s="159"/>
      <c r="OBT1" s="159"/>
      <c r="OBU1" s="159"/>
      <c r="OBV1" s="159"/>
      <c r="OBW1" s="159"/>
      <c r="OBX1" s="159"/>
      <c r="OBY1" s="159"/>
      <c r="OBZ1" s="159"/>
      <c r="OCA1" s="159"/>
      <c r="OCB1" s="159"/>
      <c r="OCC1" s="159"/>
      <c r="OCD1" s="159"/>
      <c r="OCE1" s="159"/>
      <c r="OCF1" s="159"/>
      <c r="OCG1" s="159"/>
      <c r="OCH1" s="159"/>
      <c r="OCI1" s="159"/>
      <c r="OCJ1" s="159"/>
      <c r="OCK1" s="159"/>
      <c r="OCL1" s="159"/>
      <c r="OCM1" s="159"/>
      <c r="OCN1" s="159"/>
      <c r="OCO1" s="159"/>
      <c r="OCP1" s="159"/>
      <c r="OCQ1" s="159"/>
      <c r="OCR1" s="159"/>
      <c r="OCS1" s="159"/>
      <c r="OCT1" s="159"/>
      <c r="OCU1" s="159"/>
      <c r="OCV1" s="159"/>
      <c r="OCW1" s="159"/>
      <c r="OCX1" s="159"/>
      <c r="OCY1" s="159"/>
      <c r="OCZ1" s="159"/>
      <c r="ODA1" s="159"/>
      <c r="ODB1" s="159"/>
      <c r="ODC1" s="159"/>
      <c r="ODD1" s="159"/>
      <c r="ODE1" s="159"/>
      <c r="ODF1" s="159"/>
      <c r="ODG1" s="159"/>
      <c r="ODH1" s="159"/>
      <c r="ODI1" s="159"/>
      <c r="ODJ1" s="159"/>
      <c r="ODK1" s="159"/>
      <c r="ODL1" s="159"/>
      <c r="ODM1" s="159"/>
      <c r="ODN1" s="159"/>
      <c r="ODO1" s="159"/>
      <c r="ODP1" s="159"/>
      <c r="ODQ1" s="159"/>
      <c r="ODR1" s="159"/>
      <c r="ODS1" s="159"/>
      <c r="ODT1" s="159"/>
      <c r="ODU1" s="159"/>
      <c r="ODV1" s="159"/>
      <c r="ODW1" s="159"/>
      <c r="ODX1" s="159"/>
      <c r="ODY1" s="159"/>
      <c r="ODZ1" s="159"/>
      <c r="OEA1" s="159"/>
      <c r="OEB1" s="159"/>
      <c r="OEC1" s="159"/>
      <c r="OED1" s="159"/>
      <c r="OEE1" s="159"/>
      <c r="OEF1" s="159"/>
      <c r="OEG1" s="159"/>
      <c r="OEH1" s="159"/>
      <c r="OEI1" s="159"/>
      <c r="OEJ1" s="159"/>
      <c r="OEK1" s="159"/>
      <c r="OEL1" s="159"/>
      <c r="OEM1" s="159"/>
      <c r="OEN1" s="159"/>
      <c r="OEO1" s="159"/>
      <c r="OEP1" s="159"/>
      <c r="OEQ1" s="159"/>
      <c r="OER1" s="159"/>
      <c r="OES1" s="159"/>
      <c r="OET1" s="159"/>
      <c r="OEU1" s="159"/>
      <c r="OEV1" s="159"/>
      <c r="OEW1" s="159"/>
      <c r="OEX1" s="159"/>
      <c r="OEY1" s="159"/>
      <c r="OEZ1" s="159"/>
      <c r="OFA1" s="159"/>
      <c r="OFB1" s="159"/>
      <c r="OFC1" s="159"/>
      <c r="OFD1" s="159"/>
      <c r="OFE1" s="159"/>
      <c r="OFF1" s="159"/>
      <c r="OFG1" s="159"/>
      <c r="OFH1" s="159"/>
      <c r="OFI1" s="159"/>
      <c r="OFJ1" s="159"/>
      <c r="OFK1" s="159"/>
      <c r="OFL1" s="159"/>
      <c r="OFM1" s="159"/>
      <c r="OFN1" s="159"/>
      <c r="OFO1" s="159"/>
      <c r="OFP1" s="159"/>
      <c r="OFQ1" s="159"/>
      <c r="OFR1" s="159"/>
      <c r="OFS1" s="159"/>
      <c r="OFT1" s="159"/>
      <c r="OFU1" s="159"/>
      <c r="OFV1" s="159"/>
      <c r="OFW1" s="159"/>
      <c r="OFX1" s="159"/>
      <c r="OFY1" s="159"/>
      <c r="OFZ1" s="159"/>
      <c r="OGA1" s="159"/>
      <c r="OGB1" s="159"/>
      <c r="OGC1" s="159"/>
      <c r="OGD1" s="159"/>
      <c r="OGE1" s="159"/>
      <c r="OGF1" s="159"/>
      <c r="OGG1" s="159"/>
      <c r="OGH1" s="159"/>
      <c r="OGI1" s="159"/>
      <c r="OGJ1" s="159"/>
      <c r="OGK1" s="159"/>
      <c r="OGL1" s="159"/>
      <c r="OGM1" s="159"/>
      <c r="OGN1" s="159"/>
      <c r="OHY1" s="159"/>
      <c r="OIM1" s="159"/>
      <c r="OIN1" s="159"/>
      <c r="OIO1" s="159"/>
      <c r="OIP1" s="159"/>
      <c r="OIQ1" s="159"/>
      <c r="OIR1" s="159"/>
      <c r="OIS1" s="159"/>
      <c r="OIT1" s="159"/>
      <c r="OIU1" s="159"/>
      <c r="OIV1" s="159"/>
      <c r="OIW1" s="159"/>
      <c r="OIX1" s="159"/>
      <c r="OIY1" s="159"/>
      <c r="OIZ1" s="159"/>
      <c r="OJA1" s="159"/>
      <c r="OJB1" s="159"/>
      <c r="OJC1" s="159"/>
      <c r="OJD1" s="159"/>
      <c r="OJE1" s="159"/>
      <c r="OJF1" s="159"/>
      <c r="OJG1" s="159"/>
      <c r="OJH1" s="159"/>
      <c r="OJI1" s="159"/>
      <c r="OJJ1" s="159"/>
      <c r="OJK1" s="159"/>
      <c r="OJL1" s="159"/>
      <c r="OJM1" s="159"/>
      <c r="OJN1" s="159"/>
      <c r="OJO1" s="159"/>
      <c r="OJP1" s="159"/>
      <c r="OJQ1" s="159"/>
      <c r="OJR1" s="159"/>
      <c r="OJS1" s="159"/>
      <c r="OJT1" s="159"/>
      <c r="OJU1" s="159"/>
      <c r="OJV1" s="159"/>
      <c r="OJW1" s="159"/>
      <c r="OJX1" s="159"/>
      <c r="OJY1" s="159"/>
      <c r="OJZ1" s="159"/>
      <c r="OKA1" s="159"/>
      <c r="OKB1" s="159"/>
      <c r="OKC1" s="159"/>
      <c r="OKD1" s="159"/>
      <c r="OKE1" s="159"/>
      <c r="OKF1" s="159"/>
      <c r="OKG1" s="159"/>
      <c r="OKH1" s="159"/>
      <c r="OKI1" s="159"/>
      <c r="OKJ1" s="159"/>
      <c r="OKK1" s="159"/>
      <c r="OKL1" s="159"/>
      <c r="OKM1" s="159"/>
      <c r="OKN1" s="159"/>
      <c r="OKO1" s="159"/>
      <c r="OKP1" s="159"/>
      <c r="OKQ1" s="159"/>
      <c r="OKR1" s="159"/>
      <c r="OKS1" s="159"/>
      <c r="OKT1" s="159"/>
      <c r="OKU1" s="159"/>
      <c r="OKV1" s="159"/>
      <c r="OKW1" s="159"/>
      <c r="OKX1" s="159"/>
      <c r="OKY1" s="159"/>
      <c r="OKZ1" s="159"/>
      <c r="OLA1" s="159"/>
      <c r="OLB1" s="159"/>
      <c r="OLC1" s="159"/>
      <c r="OLD1" s="159"/>
      <c r="OLE1" s="159"/>
      <c r="OLF1" s="159"/>
      <c r="OLG1" s="159"/>
      <c r="OLH1" s="159"/>
      <c r="OLI1" s="159"/>
      <c r="OLJ1" s="159"/>
      <c r="OLK1" s="159"/>
      <c r="OLL1" s="159"/>
      <c r="OLM1" s="159"/>
      <c r="OLN1" s="159"/>
      <c r="OLO1" s="159"/>
      <c r="OLP1" s="159"/>
      <c r="OLQ1" s="159"/>
      <c r="OLR1" s="159"/>
      <c r="OLS1" s="159"/>
      <c r="OLT1" s="159"/>
      <c r="OLU1" s="159"/>
      <c r="OLV1" s="159"/>
      <c r="OLW1" s="159"/>
      <c r="OLX1" s="159"/>
      <c r="OLY1" s="159"/>
      <c r="OLZ1" s="159"/>
      <c r="OMA1" s="159"/>
      <c r="OMB1" s="159"/>
      <c r="OMC1" s="159"/>
      <c r="OMD1" s="159"/>
      <c r="OME1" s="159"/>
      <c r="OMF1" s="159"/>
      <c r="OMG1" s="159"/>
      <c r="OMH1" s="159"/>
      <c r="OMI1" s="159"/>
      <c r="OMJ1" s="159"/>
      <c r="OMK1" s="159"/>
      <c r="OML1" s="159"/>
      <c r="OMM1" s="159"/>
      <c r="OMN1" s="159"/>
      <c r="OMO1" s="159"/>
      <c r="OMP1" s="159"/>
      <c r="OMQ1" s="159"/>
      <c r="OMR1" s="159"/>
      <c r="OMS1" s="159"/>
      <c r="OMT1" s="159"/>
      <c r="OMU1" s="159"/>
      <c r="OMV1" s="159"/>
      <c r="OMW1" s="159"/>
      <c r="OMX1" s="159"/>
      <c r="OMY1" s="159"/>
      <c r="OMZ1" s="159"/>
      <c r="ONA1" s="159"/>
      <c r="ONB1" s="159"/>
      <c r="ONC1" s="159"/>
      <c r="OND1" s="159"/>
      <c r="ONE1" s="159"/>
      <c r="ONF1" s="159"/>
      <c r="ONG1" s="159"/>
      <c r="ONH1" s="159"/>
      <c r="ONI1" s="159"/>
      <c r="ONJ1" s="159"/>
      <c r="ONK1" s="159"/>
      <c r="ONL1" s="159"/>
      <c r="ONM1" s="159"/>
      <c r="ONN1" s="159"/>
      <c r="ONO1" s="159"/>
      <c r="ONP1" s="159"/>
      <c r="ONQ1" s="159"/>
      <c r="ONR1" s="159"/>
      <c r="ONS1" s="159"/>
      <c r="ONT1" s="159"/>
      <c r="ONU1" s="159"/>
      <c r="ONV1" s="159"/>
      <c r="ONW1" s="159"/>
      <c r="ONX1" s="159"/>
      <c r="ONY1" s="159"/>
      <c r="ONZ1" s="159"/>
      <c r="OOA1" s="159"/>
      <c r="OOB1" s="159"/>
      <c r="OOC1" s="159"/>
      <c r="OOD1" s="159"/>
      <c r="OOE1" s="159"/>
      <c r="OOF1" s="159"/>
      <c r="OOG1" s="159"/>
      <c r="OOH1" s="159"/>
      <c r="OOI1" s="159"/>
      <c r="OOJ1" s="159"/>
      <c r="OOK1" s="159"/>
      <c r="OOL1" s="159"/>
      <c r="OOM1" s="159"/>
      <c r="OON1" s="159"/>
      <c r="OOO1" s="159"/>
      <c r="OOP1" s="159"/>
      <c r="OOQ1" s="159"/>
      <c r="OOR1" s="159"/>
      <c r="OOS1" s="159"/>
      <c r="OOT1" s="159"/>
      <c r="OOU1" s="159"/>
      <c r="OOV1" s="159"/>
      <c r="OOW1" s="159"/>
      <c r="OOX1" s="159"/>
      <c r="OOY1" s="159"/>
      <c r="OOZ1" s="159"/>
      <c r="OPA1" s="159"/>
      <c r="OPB1" s="159"/>
      <c r="OPC1" s="159"/>
      <c r="OPD1" s="159"/>
      <c r="OPE1" s="159"/>
      <c r="OPF1" s="159"/>
      <c r="OPG1" s="159"/>
      <c r="OPH1" s="159"/>
      <c r="OPI1" s="159"/>
      <c r="OPJ1" s="159"/>
      <c r="OPK1" s="159"/>
      <c r="OPL1" s="159"/>
      <c r="OPM1" s="159"/>
      <c r="OPN1" s="159"/>
      <c r="OPO1" s="159"/>
      <c r="OPP1" s="159"/>
      <c r="OPQ1" s="159"/>
      <c r="OPR1" s="159"/>
      <c r="OPS1" s="159"/>
      <c r="OPT1" s="159"/>
      <c r="OPU1" s="159"/>
      <c r="OPV1" s="159"/>
      <c r="OPW1" s="159"/>
      <c r="OPX1" s="159"/>
      <c r="OPY1" s="159"/>
      <c r="OPZ1" s="159"/>
      <c r="OQA1" s="159"/>
      <c r="OQB1" s="159"/>
      <c r="OQC1" s="159"/>
      <c r="OQD1" s="159"/>
      <c r="OQE1" s="159"/>
      <c r="OQF1" s="159"/>
      <c r="OQG1" s="159"/>
      <c r="OQH1" s="159"/>
      <c r="OQI1" s="159"/>
      <c r="OQJ1" s="159"/>
      <c r="ORU1" s="159"/>
      <c r="OSI1" s="159"/>
      <c r="OSJ1" s="159"/>
      <c r="OSK1" s="159"/>
      <c r="OSL1" s="159"/>
      <c r="OSM1" s="159"/>
      <c r="OSN1" s="159"/>
      <c r="OSO1" s="159"/>
      <c r="OSP1" s="159"/>
      <c r="OSQ1" s="159"/>
      <c r="OSR1" s="159"/>
      <c r="OSS1" s="159"/>
      <c r="OST1" s="159"/>
      <c r="OSU1" s="159"/>
      <c r="OSV1" s="159"/>
      <c r="OSW1" s="159"/>
      <c r="OSX1" s="159"/>
      <c r="OSY1" s="159"/>
      <c r="OSZ1" s="159"/>
      <c r="OTA1" s="159"/>
      <c r="OTB1" s="159"/>
      <c r="OTC1" s="159"/>
      <c r="OTD1" s="159"/>
      <c r="OTE1" s="159"/>
      <c r="OTF1" s="159"/>
      <c r="OTG1" s="159"/>
      <c r="OTH1" s="159"/>
      <c r="OTI1" s="159"/>
      <c r="OTJ1" s="159"/>
      <c r="OTK1" s="159"/>
      <c r="OTL1" s="159"/>
      <c r="OTM1" s="159"/>
      <c r="OTN1" s="159"/>
      <c r="OTO1" s="159"/>
      <c r="OTP1" s="159"/>
      <c r="OTQ1" s="159"/>
      <c r="OTR1" s="159"/>
      <c r="OTS1" s="159"/>
      <c r="OTT1" s="159"/>
      <c r="OTU1" s="159"/>
      <c r="OTV1" s="159"/>
      <c r="OTW1" s="159"/>
      <c r="OTX1" s="159"/>
      <c r="OTY1" s="159"/>
      <c r="OTZ1" s="159"/>
      <c r="OUA1" s="159"/>
      <c r="OUB1" s="159"/>
      <c r="OUC1" s="159"/>
      <c r="OUD1" s="159"/>
      <c r="OUE1" s="159"/>
      <c r="OUF1" s="159"/>
      <c r="OUG1" s="159"/>
      <c r="OUH1" s="159"/>
      <c r="OUI1" s="159"/>
      <c r="OUJ1" s="159"/>
      <c r="OUK1" s="159"/>
      <c r="OUL1" s="159"/>
      <c r="OUM1" s="159"/>
      <c r="OUN1" s="159"/>
      <c r="OUO1" s="159"/>
      <c r="OUP1" s="159"/>
      <c r="OUQ1" s="159"/>
      <c r="OUR1" s="159"/>
      <c r="OUS1" s="159"/>
      <c r="OUT1" s="159"/>
      <c r="OUU1" s="159"/>
      <c r="OUV1" s="159"/>
      <c r="OUW1" s="159"/>
      <c r="OUX1" s="159"/>
      <c r="OUY1" s="159"/>
      <c r="OUZ1" s="159"/>
      <c r="OVA1" s="159"/>
      <c r="OVB1" s="159"/>
      <c r="OVC1" s="159"/>
      <c r="OVD1" s="159"/>
      <c r="OVE1" s="159"/>
      <c r="OVF1" s="159"/>
      <c r="OVG1" s="159"/>
      <c r="OVH1" s="159"/>
      <c r="OVI1" s="159"/>
      <c r="OVJ1" s="159"/>
      <c r="OVK1" s="159"/>
      <c r="OVL1" s="159"/>
      <c r="OVM1" s="159"/>
      <c r="OVN1" s="159"/>
      <c r="OVO1" s="159"/>
      <c r="OVP1" s="159"/>
      <c r="OVQ1" s="159"/>
      <c r="OVR1" s="159"/>
      <c r="OVS1" s="159"/>
      <c r="OVT1" s="159"/>
      <c r="OVU1" s="159"/>
      <c r="OVV1" s="159"/>
      <c r="OVW1" s="159"/>
      <c r="OVX1" s="159"/>
      <c r="OVY1" s="159"/>
      <c r="OVZ1" s="159"/>
      <c r="OWA1" s="159"/>
      <c r="OWB1" s="159"/>
      <c r="OWC1" s="159"/>
      <c r="OWD1" s="159"/>
      <c r="OWE1" s="159"/>
      <c r="OWF1" s="159"/>
      <c r="OWG1" s="159"/>
      <c r="OWH1" s="159"/>
      <c r="OWI1" s="159"/>
      <c r="OWJ1" s="159"/>
      <c r="OWK1" s="159"/>
      <c r="OWL1" s="159"/>
      <c r="OWM1" s="159"/>
      <c r="OWN1" s="159"/>
      <c r="OWO1" s="159"/>
      <c r="OWP1" s="159"/>
      <c r="OWQ1" s="159"/>
      <c r="OWR1" s="159"/>
      <c r="OWS1" s="159"/>
      <c r="OWT1" s="159"/>
      <c r="OWU1" s="159"/>
      <c r="OWV1" s="159"/>
      <c r="OWW1" s="159"/>
      <c r="OWX1" s="159"/>
      <c r="OWY1" s="159"/>
      <c r="OWZ1" s="159"/>
      <c r="OXA1" s="159"/>
      <c r="OXB1" s="159"/>
      <c r="OXC1" s="159"/>
      <c r="OXD1" s="159"/>
      <c r="OXE1" s="159"/>
      <c r="OXF1" s="159"/>
      <c r="OXG1" s="159"/>
      <c r="OXH1" s="159"/>
      <c r="OXI1" s="159"/>
      <c r="OXJ1" s="159"/>
      <c r="OXK1" s="159"/>
      <c r="OXL1" s="159"/>
      <c r="OXM1" s="159"/>
      <c r="OXN1" s="159"/>
      <c r="OXO1" s="159"/>
      <c r="OXP1" s="159"/>
      <c r="OXQ1" s="159"/>
      <c r="OXR1" s="159"/>
      <c r="OXS1" s="159"/>
      <c r="OXT1" s="159"/>
      <c r="OXU1" s="159"/>
      <c r="OXV1" s="159"/>
      <c r="OXW1" s="159"/>
      <c r="OXX1" s="159"/>
      <c r="OXY1" s="159"/>
      <c r="OXZ1" s="159"/>
      <c r="OYA1" s="159"/>
      <c r="OYB1" s="159"/>
      <c r="OYC1" s="159"/>
      <c r="OYD1" s="159"/>
      <c r="OYE1" s="159"/>
      <c r="OYF1" s="159"/>
      <c r="OYG1" s="159"/>
      <c r="OYH1" s="159"/>
      <c r="OYI1" s="159"/>
      <c r="OYJ1" s="159"/>
      <c r="OYK1" s="159"/>
      <c r="OYL1" s="159"/>
      <c r="OYM1" s="159"/>
      <c r="OYN1" s="159"/>
      <c r="OYO1" s="159"/>
      <c r="OYP1" s="159"/>
      <c r="OYQ1" s="159"/>
      <c r="OYR1" s="159"/>
      <c r="OYS1" s="159"/>
      <c r="OYT1" s="159"/>
      <c r="OYU1" s="159"/>
      <c r="OYV1" s="159"/>
      <c r="OYW1" s="159"/>
      <c r="OYX1" s="159"/>
      <c r="OYY1" s="159"/>
      <c r="OYZ1" s="159"/>
      <c r="OZA1" s="159"/>
      <c r="OZB1" s="159"/>
      <c r="OZC1" s="159"/>
      <c r="OZD1" s="159"/>
      <c r="OZE1" s="159"/>
      <c r="OZF1" s="159"/>
      <c r="OZG1" s="159"/>
      <c r="OZH1" s="159"/>
      <c r="OZI1" s="159"/>
      <c r="OZJ1" s="159"/>
      <c r="OZK1" s="159"/>
      <c r="OZL1" s="159"/>
      <c r="OZM1" s="159"/>
      <c r="OZN1" s="159"/>
      <c r="OZO1" s="159"/>
      <c r="OZP1" s="159"/>
      <c r="OZQ1" s="159"/>
      <c r="OZR1" s="159"/>
      <c r="OZS1" s="159"/>
      <c r="OZT1" s="159"/>
      <c r="OZU1" s="159"/>
      <c r="OZV1" s="159"/>
      <c r="OZW1" s="159"/>
      <c r="OZX1" s="159"/>
      <c r="OZY1" s="159"/>
      <c r="OZZ1" s="159"/>
      <c r="PAA1" s="159"/>
      <c r="PAB1" s="159"/>
      <c r="PAC1" s="159"/>
      <c r="PAD1" s="159"/>
      <c r="PAE1" s="159"/>
      <c r="PAF1" s="159"/>
      <c r="PBQ1" s="159"/>
      <c r="PCE1" s="159"/>
      <c r="PCF1" s="159"/>
      <c r="PCG1" s="159"/>
      <c r="PCH1" s="159"/>
      <c r="PCI1" s="159"/>
      <c r="PCJ1" s="159"/>
      <c r="PCK1" s="159"/>
      <c r="PCL1" s="159"/>
      <c r="PCM1" s="159"/>
      <c r="PCN1" s="159"/>
      <c r="PCO1" s="159"/>
      <c r="PCP1" s="159"/>
      <c r="PCQ1" s="159"/>
      <c r="PCR1" s="159"/>
      <c r="PCS1" s="159"/>
      <c r="PCT1" s="159"/>
      <c r="PCU1" s="159"/>
      <c r="PCV1" s="159"/>
      <c r="PCW1" s="159"/>
      <c r="PCX1" s="159"/>
      <c r="PCY1" s="159"/>
      <c r="PCZ1" s="159"/>
      <c r="PDA1" s="159"/>
      <c r="PDB1" s="159"/>
      <c r="PDC1" s="159"/>
      <c r="PDD1" s="159"/>
      <c r="PDE1" s="159"/>
      <c r="PDF1" s="159"/>
      <c r="PDG1" s="159"/>
      <c r="PDH1" s="159"/>
      <c r="PDI1" s="159"/>
      <c r="PDJ1" s="159"/>
      <c r="PDK1" s="159"/>
      <c r="PDL1" s="159"/>
      <c r="PDM1" s="159"/>
      <c r="PDN1" s="159"/>
      <c r="PDO1" s="159"/>
      <c r="PDP1" s="159"/>
      <c r="PDQ1" s="159"/>
      <c r="PDR1" s="159"/>
      <c r="PDS1" s="159"/>
      <c r="PDT1" s="159"/>
      <c r="PDU1" s="159"/>
      <c r="PDV1" s="159"/>
      <c r="PDW1" s="159"/>
      <c r="PDX1" s="159"/>
      <c r="PDY1" s="159"/>
      <c r="PDZ1" s="159"/>
      <c r="PEA1" s="159"/>
      <c r="PEB1" s="159"/>
      <c r="PEC1" s="159"/>
      <c r="PED1" s="159"/>
      <c r="PEE1" s="159"/>
      <c r="PEF1" s="159"/>
      <c r="PEG1" s="159"/>
      <c r="PEH1" s="159"/>
      <c r="PEI1" s="159"/>
      <c r="PEJ1" s="159"/>
      <c r="PEK1" s="159"/>
      <c r="PEL1" s="159"/>
      <c r="PEM1" s="159"/>
      <c r="PEN1" s="159"/>
      <c r="PEO1" s="159"/>
      <c r="PEP1" s="159"/>
      <c r="PEQ1" s="159"/>
      <c r="PER1" s="159"/>
      <c r="PES1" s="159"/>
      <c r="PET1" s="159"/>
      <c r="PEU1" s="159"/>
      <c r="PEV1" s="159"/>
      <c r="PEW1" s="159"/>
      <c r="PEX1" s="159"/>
      <c r="PEY1" s="159"/>
      <c r="PEZ1" s="159"/>
      <c r="PFA1" s="159"/>
      <c r="PFB1" s="159"/>
      <c r="PFC1" s="159"/>
      <c r="PFD1" s="159"/>
      <c r="PFE1" s="159"/>
      <c r="PFF1" s="159"/>
      <c r="PFG1" s="159"/>
      <c r="PFH1" s="159"/>
      <c r="PFI1" s="159"/>
      <c r="PFJ1" s="159"/>
      <c r="PFK1" s="159"/>
      <c r="PFL1" s="159"/>
      <c r="PFM1" s="159"/>
      <c r="PFN1" s="159"/>
      <c r="PFO1" s="159"/>
      <c r="PFP1" s="159"/>
      <c r="PFQ1" s="159"/>
      <c r="PFR1" s="159"/>
      <c r="PFS1" s="159"/>
      <c r="PFT1" s="159"/>
      <c r="PFU1" s="159"/>
      <c r="PFV1" s="159"/>
      <c r="PFW1" s="159"/>
      <c r="PFX1" s="159"/>
      <c r="PFY1" s="159"/>
      <c r="PFZ1" s="159"/>
      <c r="PGA1" s="159"/>
      <c r="PGB1" s="159"/>
      <c r="PGC1" s="159"/>
      <c r="PGD1" s="159"/>
      <c r="PGE1" s="159"/>
      <c r="PGF1" s="159"/>
      <c r="PGG1" s="159"/>
      <c r="PGH1" s="159"/>
      <c r="PGI1" s="159"/>
      <c r="PGJ1" s="159"/>
      <c r="PGK1" s="159"/>
      <c r="PGL1" s="159"/>
      <c r="PGM1" s="159"/>
      <c r="PGN1" s="159"/>
      <c r="PGO1" s="159"/>
      <c r="PGP1" s="159"/>
      <c r="PGQ1" s="159"/>
      <c r="PGR1" s="159"/>
      <c r="PGS1" s="159"/>
      <c r="PGT1" s="159"/>
      <c r="PGU1" s="159"/>
      <c r="PGV1" s="159"/>
      <c r="PGW1" s="159"/>
      <c r="PGX1" s="159"/>
      <c r="PGY1" s="159"/>
      <c r="PGZ1" s="159"/>
      <c r="PHA1" s="159"/>
      <c r="PHB1" s="159"/>
      <c r="PHC1" s="159"/>
      <c r="PHD1" s="159"/>
      <c r="PHE1" s="159"/>
      <c r="PHF1" s="159"/>
      <c r="PHG1" s="159"/>
      <c r="PHH1" s="159"/>
      <c r="PHI1" s="159"/>
      <c r="PHJ1" s="159"/>
      <c r="PHK1" s="159"/>
      <c r="PHL1" s="159"/>
      <c r="PHM1" s="159"/>
      <c r="PHN1" s="159"/>
      <c r="PHO1" s="159"/>
      <c r="PHP1" s="159"/>
      <c r="PHQ1" s="159"/>
      <c r="PHR1" s="159"/>
      <c r="PHS1" s="159"/>
      <c r="PHT1" s="159"/>
      <c r="PHU1" s="159"/>
      <c r="PHV1" s="159"/>
      <c r="PHW1" s="159"/>
      <c r="PHX1" s="159"/>
      <c r="PHY1" s="159"/>
      <c r="PHZ1" s="159"/>
      <c r="PIA1" s="159"/>
      <c r="PIB1" s="159"/>
      <c r="PIC1" s="159"/>
      <c r="PID1" s="159"/>
      <c r="PIE1" s="159"/>
      <c r="PIF1" s="159"/>
      <c r="PIG1" s="159"/>
      <c r="PIH1" s="159"/>
      <c r="PII1" s="159"/>
      <c r="PIJ1" s="159"/>
      <c r="PIK1" s="159"/>
      <c r="PIL1" s="159"/>
      <c r="PIM1" s="159"/>
      <c r="PIN1" s="159"/>
      <c r="PIO1" s="159"/>
      <c r="PIP1" s="159"/>
      <c r="PIQ1" s="159"/>
      <c r="PIR1" s="159"/>
      <c r="PIS1" s="159"/>
      <c r="PIT1" s="159"/>
      <c r="PIU1" s="159"/>
      <c r="PIV1" s="159"/>
      <c r="PIW1" s="159"/>
      <c r="PIX1" s="159"/>
      <c r="PIY1" s="159"/>
      <c r="PIZ1" s="159"/>
      <c r="PJA1" s="159"/>
      <c r="PJB1" s="159"/>
      <c r="PJC1" s="159"/>
      <c r="PJD1" s="159"/>
      <c r="PJE1" s="159"/>
      <c r="PJF1" s="159"/>
      <c r="PJG1" s="159"/>
      <c r="PJH1" s="159"/>
      <c r="PJI1" s="159"/>
      <c r="PJJ1" s="159"/>
      <c r="PJK1" s="159"/>
      <c r="PJL1" s="159"/>
      <c r="PJM1" s="159"/>
      <c r="PJN1" s="159"/>
      <c r="PJO1" s="159"/>
      <c r="PJP1" s="159"/>
      <c r="PJQ1" s="159"/>
      <c r="PJR1" s="159"/>
      <c r="PJS1" s="159"/>
      <c r="PJT1" s="159"/>
      <c r="PJU1" s="159"/>
      <c r="PJV1" s="159"/>
      <c r="PJW1" s="159"/>
      <c r="PJX1" s="159"/>
      <c r="PJY1" s="159"/>
      <c r="PJZ1" s="159"/>
      <c r="PKA1" s="159"/>
      <c r="PKB1" s="159"/>
      <c r="PLM1" s="159"/>
      <c r="PMA1" s="159"/>
      <c r="PMB1" s="159"/>
      <c r="PMC1" s="159"/>
      <c r="PMD1" s="159"/>
      <c r="PME1" s="159"/>
      <c r="PMF1" s="159"/>
      <c r="PMG1" s="159"/>
      <c r="PMH1" s="159"/>
      <c r="PMI1" s="159"/>
      <c r="PMJ1" s="159"/>
      <c r="PMK1" s="159"/>
      <c r="PML1" s="159"/>
      <c r="PMM1" s="159"/>
      <c r="PMN1" s="159"/>
      <c r="PMO1" s="159"/>
      <c r="PMP1" s="159"/>
      <c r="PMQ1" s="159"/>
      <c r="PMR1" s="159"/>
      <c r="PMS1" s="159"/>
      <c r="PMT1" s="159"/>
      <c r="PMU1" s="159"/>
      <c r="PMV1" s="159"/>
      <c r="PMW1" s="159"/>
      <c r="PMX1" s="159"/>
      <c r="PMY1" s="159"/>
      <c r="PMZ1" s="159"/>
      <c r="PNA1" s="159"/>
      <c r="PNB1" s="159"/>
      <c r="PNC1" s="159"/>
      <c r="PND1" s="159"/>
      <c r="PNE1" s="159"/>
      <c r="PNF1" s="159"/>
      <c r="PNG1" s="159"/>
      <c r="PNH1" s="159"/>
      <c r="PNI1" s="159"/>
      <c r="PNJ1" s="159"/>
      <c r="PNK1" s="159"/>
      <c r="PNL1" s="159"/>
      <c r="PNM1" s="159"/>
      <c r="PNN1" s="159"/>
      <c r="PNO1" s="159"/>
      <c r="PNP1" s="159"/>
      <c r="PNQ1" s="159"/>
      <c r="PNR1" s="159"/>
      <c r="PNS1" s="159"/>
      <c r="PNT1" s="159"/>
      <c r="PNU1" s="159"/>
      <c r="PNV1" s="159"/>
      <c r="PNW1" s="159"/>
      <c r="PNX1" s="159"/>
      <c r="PNY1" s="159"/>
      <c r="PNZ1" s="159"/>
      <c r="POA1" s="159"/>
      <c r="POB1" s="159"/>
      <c r="POC1" s="159"/>
      <c r="POD1" s="159"/>
      <c r="POE1" s="159"/>
      <c r="POF1" s="159"/>
      <c r="POG1" s="159"/>
      <c r="POH1" s="159"/>
      <c r="POI1" s="159"/>
      <c r="POJ1" s="159"/>
      <c r="POK1" s="159"/>
      <c r="POL1" s="159"/>
      <c r="POM1" s="159"/>
      <c r="PON1" s="159"/>
      <c r="POO1" s="159"/>
      <c r="POP1" s="159"/>
      <c r="POQ1" s="159"/>
      <c r="POR1" s="159"/>
      <c r="POS1" s="159"/>
      <c r="POT1" s="159"/>
      <c r="POU1" s="159"/>
      <c r="POV1" s="159"/>
      <c r="POW1" s="159"/>
      <c r="POX1" s="159"/>
      <c r="POY1" s="159"/>
      <c r="POZ1" s="159"/>
      <c r="PPA1" s="159"/>
      <c r="PPB1" s="159"/>
      <c r="PPC1" s="159"/>
      <c r="PPD1" s="159"/>
      <c r="PPE1" s="159"/>
      <c r="PPF1" s="159"/>
      <c r="PPG1" s="159"/>
      <c r="PPH1" s="159"/>
      <c r="PPI1" s="159"/>
      <c r="PPJ1" s="159"/>
      <c r="PPK1" s="159"/>
      <c r="PPL1" s="159"/>
      <c r="PPM1" s="159"/>
      <c r="PPN1" s="159"/>
      <c r="PPO1" s="159"/>
      <c r="PPP1" s="159"/>
      <c r="PPQ1" s="159"/>
      <c r="PPR1" s="159"/>
      <c r="PPS1" s="159"/>
      <c r="PPT1" s="159"/>
      <c r="PPU1" s="159"/>
      <c r="PPV1" s="159"/>
      <c r="PPW1" s="159"/>
      <c r="PPX1" s="159"/>
      <c r="PPY1" s="159"/>
      <c r="PPZ1" s="159"/>
      <c r="PQA1" s="159"/>
      <c r="PQB1" s="159"/>
      <c r="PQC1" s="159"/>
      <c r="PQD1" s="159"/>
      <c r="PQE1" s="159"/>
      <c r="PQF1" s="159"/>
      <c r="PQG1" s="159"/>
      <c r="PQH1" s="159"/>
      <c r="PQI1" s="159"/>
      <c r="PQJ1" s="159"/>
      <c r="PQK1" s="159"/>
      <c r="PQL1" s="159"/>
      <c r="PQM1" s="159"/>
      <c r="PQN1" s="159"/>
      <c r="PQO1" s="159"/>
      <c r="PQP1" s="159"/>
      <c r="PQQ1" s="159"/>
      <c r="PQR1" s="159"/>
      <c r="PQS1" s="159"/>
      <c r="PQT1" s="159"/>
      <c r="PQU1" s="159"/>
      <c r="PQV1" s="159"/>
      <c r="PQW1" s="159"/>
      <c r="PQX1" s="159"/>
      <c r="PQY1" s="159"/>
      <c r="PQZ1" s="159"/>
      <c r="PRA1" s="159"/>
      <c r="PRB1" s="159"/>
      <c r="PRC1" s="159"/>
      <c r="PRD1" s="159"/>
      <c r="PRE1" s="159"/>
      <c r="PRF1" s="159"/>
      <c r="PRG1" s="159"/>
      <c r="PRH1" s="159"/>
      <c r="PRI1" s="159"/>
      <c r="PRJ1" s="159"/>
      <c r="PRK1" s="159"/>
      <c r="PRL1" s="159"/>
      <c r="PRM1" s="159"/>
      <c r="PRN1" s="159"/>
      <c r="PRO1" s="159"/>
      <c r="PRP1" s="159"/>
      <c r="PRQ1" s="159"/>
      <c r="PRR1" s="159"/>
      <c r="PRS1" s="159"/>
      <c r="PRT1" s="159"/>
      <c r="PRU1" s="159"/>
      <c r="PRV1" s="159"/>
      <c r="PRW1" s="159"/>
      <c r="PRX1" s="159"/>
      <c r="PRY1" s="159"/>
      <c r="PRZ1" s="159"/>
      <c r="PSA1" s="159"/>
      <c r="PSB1" s="159"/>
      <c r="PSC1" s="159"/>
      <c r="PSD1" s="159"/>
      <c r="PSE1" s="159"/>
      <c r="PSF1" s="159"/>
      <c r="PSG1" s="159"/>
      <c r="PSH1" s="159"/>
      <c r="PSI1" s="159"/>
      <c r="PSJ1" s="159"/>
      <c r="PSK1" s="159"/>
      <c r="PSL1" s="159"/>
      <c r="PSM1" s="159"/>
      <c r="PSN1" s="159"/>
      <c r="PSO1" s="159"/>
      <c r="PSP1" s="159"/>
      <c r="PSQ1" s="159"/>
      <c r="PSR1" s="159"/>
      <c r="PSS1" s="159"/>
      <c r="PST1" s="159"/>
      <c r="PSU1" s="159"/>
      <c r="PSV1" s="159"/>
      <c r="PSW1" s="159"/>
      <c r="PSX1" s="159"/>
      <c r="PSY1" s="159"/>
      <c r="PSZ1" s="159"/>
      <c r="PTA1" s="159"/>
      <c r="PTB1" s="159"/>
      <c r="PTC1" s="159"/>
      <c r="PTD1" s="159"/>
      <c r="PTE1" s="159"/>
      <c r="PTF1" s="159"/>
      <c r="PTG1" s="159"/>
      <c r="PTH1" s="159"/>
      <c r="PTI1" s="159"/>
      <c r="PTJ1" s="159"/>
      <c r="PTK1" s="159"/>
      <c r="PTL1" s="159"/>
      <c r="PTM1" s="159"/>
      <c r="PTN1" s="159"/>
      <c r="PTO1" s="159"/>
      <c r="PTP1" s="159"/>
      <c r="PTQ1" s="159"/>
      <c r="PTR1" s="159"/>
      <c r="PTS1" s="159"/>
      <c r="PTT1" s="159"/>
      <c r="PTU1" s="159"/>
      <c r="PTV1" s="159"/>
      <c r="PTW1" s="159"/>
      <c r="PTX1" s="159"/>
      <c r="PVI1" s="159"/>
      <c r="PVW1" s="159"/>
      <c r="PVX1" s="159"/>
      <c r="PVY1" s="159"/>
      <c r="PVZ1" s="159"/>
      <c r="PWA1" s="159"/>
      <c r="PWB1" s="159"/>
      <c r="PWC1" s="159"/>
      <c r="PWD1" s="159"/>
      <c r="PWE1" s="159"/>
      <c r="PWF1" s="159"/>
      <c r="PWG1" s="159"/>
      <c r="PWH1" s="159"/>
      <c r="PWI1" s="159"/>
      <c r="PWJ1" s="159"/>
      <c r="PWK1" s="159"/>
      <c r="PWL1" s="159"/>
      <c r="PWM1" s="159"/>
      <c r="PWN1" s="159"/>
      <c r="PWO1" s="159"/>
      <c r="PWP1" s="159"/>
      <c r="PWQ1" s="159"/>
      <c r="PWR1" s="159"/>
      <c r="PWS1" s="159"/>
      <c r="PWT1" s="159"/>
      <c r="PWU1" s="159"/>
      <c r="PWV1" s="159"/>
      <c r="PWW1" s="159"/>
      <c r="PWX1" s="159"/>
      <c r="PWY1" s="159"/>
      <c r="PWZ1" s="159"/>
      <c r="PXA1" s="159"/>
      <c r="PXB1" s="159"/>
      <c r="PXC1" s="159"/>
      <c r="PXD1" s="159"/>
      <c r="PXE1" s="159"/>
      <c r="PXF1" s="159"/>
      <c r="PXG1" s="159"/>
      <c r="PXH1" s="159"/>
      <c r="PXI1" s="159"/>
      <c r="PXJ1" s="159"/>
      <c r="PXK1" s="159"/>
      <c r="PXL1" s="159"/>
      <c r="PXM1" s="159"/>
      <c r="PXN1" s="159"/>
      <c r="PXO1" s="159"/>
      <c r="PXP1" s="159"/>
      <c r="PXQ1" s="159"/>
      <c r="PXR1" s="159"/>
      <c r="PXS1" s="159"/>
      <c r="PXT1" s="159"/>
      <c r="PXU1" s="159"/>
      <c r="PXV1" s="159"/>
      <c r="PXW1" s="159"/>
      <c r="PXX1" s="159"/>
      <c r="PXY1" s="159"/>
      <c r="PXZ1" s="159"/>
      <c r="PYA1" s="159"/>
      <c r="PYB1" s="159"/>
      <c r="PYC1" s="159"/>
      <c r="PYD1" s="159"/>
      <c r="PYE1" s="159"/>
      <c r="PYF1" s="159"/>
      <c r="PYG1" s="159"/>
      <c r="PYH1" s="159"/>
      <c r="PYI1" s="159"/>
      <c r="PYJ1" s="159"/>
      <c r="PYK1" s="159"/>
      <c r="PYL1" s="159"/>
      <c r="PYM1" s="159"/>
      <c r="PYN1" s="159"/>
      <c r="PYO1" s="159"/>
      <c r="PYP1" s="159"/>
      <c r="PYQ1" s="159"/>
      <c r="PYR1" s="159"/>
      <c r="PYS1" s="159"/>
      <c r="PYT1" s="159"/>
      <c r="PYU1" s="159"/>
      <c r="PYV1" s="159"/>
      <c r="PYW1" s="159"/>
      <c r="PYX1" s="159"/>
      <c r="PYY1" s="159"/>
      <c r="PYZ1" s="159"/>
      <c r="PZA1" s="159"/>
      <c r="PZB1" s="159"/>
      <c r="PZC1" s="159"/>
      <c r="PZD1" s="159"/>
      <c r="PZE1" s="159"/>
      <c r="PZF1" s="159"/>
      <c r="PZG1" s="159"/>
      <c r="PZH1" s="159"/>
      <c r="PZI1" s="159"/>
      <c r="PZJ1" s="159"/>
      <c r="PZK1" s="159"/>
      <c r="PZL1" s="159"/>
      <c r="PZM1" s="159"/>
      <c r="PZN1" s="159"/>
      <c r="PZO1" s="159"/>
      <c r="PZP1" s="159"/>
      <c r="PZQ1" s="159"/>
      <c r="PZR1" s="159"/>
      <c r="PZS1" s="159"/>
      <c r="PZT1" s="159"/>
      <c r="PZU1" s="159"/>
      <c r="PZV1" s="159"/>
      <c r="PZW1" s="159"/>
      <c r="PZX1" s="159"/>
      <c r="PZY1" s="159"/>
      <c r="PZZ1" s="159"/>
      <c r="QAA1" s="159"/>
      <c r="QAB1" s="159"/>
      <c r="QAC1" s="159"/>
      <c r="QAD1" s="159"/>
      <c r="QAE1" s="159"/>
      <c r="QAF1" s="159"/>
      <c r="QAG1" s="159"/>
      <c r="QAH1" s="159"/>
      <c r="QAI1" s="159"/>
      <c r="QAJ1" s="159"/>
      <c r="QAK1" s="159"/>
      <c r="QAL1" s="159"/>
      <c r="QAM1" s="159"/>
      <c r="QAN1" s="159"/>
      <c r="QAO1" s="159"/>
      <c r="QAP1" s="159"/>
      <c r="QAQ1" s="159"/>
      <c r="QAR1" s="159"/>
      <c r="QAS1" s="159"/>
      <c r="QAT1" s="159"/>
      <c r="QAU1" s="159"/>
      <c r="QAV1" s="159"/>
      <c r="QAW1" s="159"/>
      <c r="QAX1" s="159"/>
      <c r="QAY1" s="159"/>
      <c r="QAZ1" s="159"/>
      <c r="QBA1" s="159"/>
      <c r="QBB1" s="159"/>
      <c r="QBC1" s="159"/>
      <c r="QBD1" s="159"/>
      <c r="QBE1" s="159"/>
      <c r="QBF1" s="159"/>
      <c r="QBG1" s="159"/>
      <c r="QBH1" s="159"/>
      <c r="QBI1" s="159"/>
      <c r="QBJ1" s="159"/>
      <c r="QBK1" s="159"/>
      <c r="QBL1" s="159"/>
      <c r="QBM1" s="159"/>
      <c r="QBN1" s="159"/>
      <c r="QBO1" s="159"/>
      <c r="QBP1" s="159"/>
      <c r="QBQ1" s="159"/>
      <c r="QBR1" s="159"/>
      <c r="QBS1" s="159"/>
      <c r="QBT1" s="159"/>
      <c r="QBU1" s="159"/>
      <c r="QBV1" s="159"/>
      <c r="QBW1" s="159"/>
      <c r="QBX1" s="159"/>
      <c r="QBY1" s="159"/>
      <c r="QBZ1" s="159"/>
      <c r="QCA1" s="159"/>
      <c r="QCB1" s="159"/>
      <c r="QCC1" s="159"/>
      <c r="QCD1" s="159"/>
      <c r="QCE1" s="159"/>
      <c r="QCF1" s="159"/>
      <c r="QCG1" s="159"/>
      <c r="QCH1" s="159"/>
      <c r="QCI1" s="159"/>
      <c r="QCJ1" s="159"/>
      <c r="QCK1" s="159"/>
      <c r="QCL1" s="159"/>
      <c r="QCM1" s="159"/>
      <c r="QCN1" s="159"/>
      <c r="QCO1" s="159"/>
      <c r="QCP1" s="159"/>
      <c r="QCQ1" s="159"/>
      <c r="QCR1" s="159"/>
      <c r="QCS1" s="159"/>
      <c r="QCT1" s="159"/>
      <c r="QCU1" s="159"/>
      <c r="QCV1" s="159"/>
      <c r="QCW1" s="159"/>
      <c r="QCX1" s="159"/>
      <c r="QCY1" s="159"/>
      <c r="QCZ1" s="159"/>
      <c r="QDA1" s="159"/>
      <c r="QDB1" s="159"/>
      <c r="QDC1" s="159"/>
      <c r="QDD1" s="159"/>
      <c r="QDE1" s="159"/>
      <c r="QDF1" s="159"/>
      <c r="QDG1" s="159"/>
      <c r="QDH1" s="159"/>
      <c r="QDI1" s="159"/>
      <c r="QDJ1" s="159"/>
      <c r="QDK1" s="159"/>
      <c r="QDL1" s="159"/>
      <c r="QDM1" s="159"/>
      <c r="QDN1" s="159"/>
      <c r="QDO1" s="159"/>
      <c r="QDP1" s="159"/>
      <c r="QDQ1" s="159"/>
      <c r="QDR1" s="159"/>
      <c r="QDS1" s="159"/>
      <c r="QDT1" s="159"/>
      <c r="QFE1" s="159"/>
      <c r="QFS1" s="159"/>
      <c r="QFT1" s="159"/>
      <c r="QFU1" s="159"/>
      <c r="QFV1" s="159"/>
      <c r="QFW1" s="159"/>
      <c r="QFX1" s="159"/>
      <c r="QFY1" s="159"/>
      <c r="QFZ1" s="159"/>
      <c r="QGA1" s="159"/>
      <c r="QGB1" s="159"/>
      <c r="QGC1" s="159"/>
      <c r="QGD1" s="159"/>
      <c r="QGE1" s="159"/>
      <c r="QGF1" s="159"/>
      <c r="QGG1" s="159"/>
      <c r="QGH1" s="159"/>
      <c r="QGI1" s="159"/>
      <c r="QGJ1" s="159"/>
      <c r="QGK1" s="159"/>
      <c r="QGL1" s="159"/>
      <c r="QGM1" s="159"/>
      <c r="QGN1" s="159"/>
      <c r="QGO1" s="159"/>
      <c r="QGP1" s="159"/>
      <c r="QGQ1" s="159"/>
      <c r="QGR1" s="159"/>
      <c r="QGS1" s="159"/>
      <c r="QGT1" s="159"/>
      <c r="QGU1" s="159"/>
      <c r="QGV1" s="159"/>
      <c r="QGW1" s="159"/>
      <c r="QGX1" s="159"/>
      <c r="QGY1" s="159"/>
      <c r="QGZ1" s="159"/>
      <c r="QHA1" s="159"/>
      <c r="QHB1" s="159"/>
      <c r="QHC1" s="159"/>
      <c r="QHD1" s="159"/>
      <c r="QHE1" s="159"/>
      <c r="QHF1" s="159"/>
      <c r="QHG1" s="159"/>
      <c r="QHH1" s="159"/>
      <c r="QHI1" s="159"/>
      <c r="QHJ1" s="159"/>
      <c r="QHK1" s="159"/>
      <c r="QHL1" s="159"/>
      <c r="QHM1" s="159"/>
      <c r="QHN1" s="159"/>
      <c r="QHO1" s="159"/>
      <c r="QHP1" s="159"/>
      <c r="QHQ1" s="159"/>
      <c r="QHR1" s="159"/>
      <c r="QHS1" s="159"/>
      <c r="QHT1" s="159"/>
      <c r="QHU1" s="159"/>
      <c r="QHV1" s="159"/>
      <c r="QHW1" s="159"/>
      <c r="QHX1" s="159"/>
      <c r="QHY1" s="159"/>
      <c r="QHZ1" s="159"/>
      <c r="QIA1" s="159"/>
      <c r="QIB1" s="159"/>
      <c r="QIC1" s="159"/>
      <c r="QID1" s="159"/>
      <c r="QIE1" s="159"/>
      <c r="QIF1" s="159"/>
      <c r="QIG1" s="159"/>
      <c r="QIH1" s="159"/>
      <c r="QII1" s="159"/>
      <c r="QIJ1" s="159"/>
      <c r="QIK1" s="159"/>
      <c r="QIL1" s="159"/>
      <c r="QIM1" s="159"/>
      <c r="QIN1" s="159"/>
      <c r="QIO1" s="159"/>
      <c r="QIP1" s="159"/>
      <c r="QIQ1" s="159"/>
      <c r="QIR1" s="159"/>
      <c r="QIS1" s="159"/>
      <c r="QIT1" s="159"/>
      <c r="QIU1" s="159"/>
      <c r="QIV1" s="159"/>
      <c r="QIW1" s="159"/>
      <c r="QIX1" s="159"/>
      <c r="QIY1" s="159"/>
      <c r="QIZ1" s="159"/>
      <c r="QJA1" s="159"/>
      <c r="QJB1" s="159"/>
      <c r="QJC1" s="159"/>
      <c r="QJD1" s="159"/>
      <c r="QJE1" s="159"/>
      <c r="QJF1" s="159"/>
      <c r="QJG1" s="159"/>
      <c r="QJH1" s="159"/>
      <c r="QJI1" s="159"/>
      <c r="QJJ1" s="159"/>
      <c r="QJK1" s="159"/>
      <c r="QJL1" s="159"/>
      <c r="QJM1" s="159"/>
      <c r="QJN1" s="159"/>
      <c r="QJO1" s="159"/>
      <c r="QJP1" s="159"/>
      <c r="QJQ1" s="159"/>
      <c r="QJR1" s="159"/>
      <c r="QJS1" s="159"/>
      <c r="QJT1" s="159"/>
      <c r="QJU1" s="159"/>
      <c r="QJV1" s="159"/>
      <c r="QJW1" s="159"/>
      <c r="QJX1" s="159"/>
      <c r="QJY1" s="159"/>
      <c r="QJZ1" s="159"/>
      <c r="QKA1" s="159"/>
      <c r="QKB1" s="159"/>
      <c r="QKC1" s="159"/>
      <c r="QKD1" s="159"/>
      <c r="QKE1" s="159"/>
      <c r="QKF1" s="159"/>
      <c r="QKG1" s="159"/>
      <c r="QKH1" s="159"/>
      <c r="QKI1" s="159"/>
      <c r="QKJ1" s="159"/>
      <c r="QKK1" s="159"/>
      <c r="QKL1" s="159"/>
      <c r="QKM1" s="159"/>
      <c r="QKN1" s="159"/>
      <c r="QKO1" s="159"/>
      <c r="QKP1" s="159"/>
      <c r="QKQ1" s="159"/>
      <c r="QKR1" s="159"/>
      <c r="QKS1" s="159"/>
      <c r="QKT1" s="159"/>
      <c r="QKU1" s="159"/>
      <c r="QKV1" s="159"/>
      <c r="QKW1" s="159"/>
      <c r="QKX1" s="159"/>
      <c r="QKY1" s="159"/>
      <c r="QKZ1" s="159"/>
      <c r="QLA1" s="159"/>
      <c r="QLB1" s="159"/>
      <c r="QLC1" s="159"/>
      <c r="QLD1" s="159"/>
      <c r="QLE1" s="159"/>
      <c r="QLF1" s="159"/>
      <c r="QLG1" s="159"/>
      <c r="QLH1" s="159"/>
      <c r="QLI1" s="159"/>
      <c r="QLJ1" s="159"/>
      <c r="QLK1" s="159"/>
      <c r="QLL1" s="159"/>
      <c r="QLM1" s="159"/>
      <c r="QLN1" s="159"/>
      <c r="QLO1" s="159"/>
      <c r="QLP1" s="159"/>
      <c r="QLQ1" s="159"/>
      <c r="QLR1" s="159"/>
      <c r="QLS1" s="159"/>
      <c r="QLT1" s="159"/>
      <c r="QLU1" s="159"/>
      <c r="QLV1" s="159"/>
      <c r="QLW1" s="159"/>
      <c r="QLX1" s="159"/>
      <c r="QLY1" s="159"/>
      <c r="QLZ1" s="159"/>
      <c r="QMA1" s="159"/>
      <c r="QMB1" s="159"/>
      <c r="QMC1" s="159"/>
      <c r="QMD1" s="159"/>
      <c r="QME1" s="159"/>
      <c r="QMF1" s="159"/>
      <c r="QMG1" s="159"/>
      <c r="QMH1" s="159"/>
      <c r="QMI1" s="159"/>
      <c r="QMJ1" s="159"/>
      <c r="QMK1" s="159"/>
      <c r="QML1" s="159"/>
      <c r="QMM1" s="159"/>
      <c r="QMN1" s="159"/>
      <c r="QMO1" s="159"/>
      <c r="QMP1" s="159"/>
      <c r="QMQ1" s="159"/>
      <c r="QMR1" s="159"/>
      <c r="QMS1" s="159"/>
      <c r="QMT1" s="159"/>
      <c r="QMU1" s="159"/>
      <c r="QMV1" s="159"/>
      <c r="QMW1" s="159"/>
      <c r="QMX1" s="159"/>
      <c r="QMY1" s="159"/>
      <c r="QMZ1" s="159"/>
      <c r="QNA1" s="159"/>
      <c r="QNB1" s="159"/>
      <c r="QNC1" s="159"/>
      <c r="QND1" s="159"/>
      <c r="QNE1" s="159"/>
      <c r="QNF1" s="159"/>
      <c r="QNG1" s="159"/>
      <c r="QNH1" s="159"/>
      <c r="QNI1" s="159"/>
      <c r="QNJ1" s="159"/>
      <c r="QNK1" s="159"/>
      <c r="QNL1" s="159"/>
      <c r="QNM1" s="159"/>
      <c r="QNN1" s="159"/>
      <c r="QNO1" s="159"/>
      <c r="QNP1" s="159"/>
      <c r="QPA1" s="159"/>
      <c r="QPO1" s="159"/>
      <c r="QPP1" s="159"/>
      <c r="QPQ1" s="159"/>
      <c r="QPR1" s="159"/>
      <c r="QPS1" s="159"/>
      <c r="QPT1" s="159"/>
      <c r="QPU1" s="159"/>
      <c r="QPV1" s="159"/>
      <c r="QPW1" s="159"/>
      <c r="QPX1" s="159"/>
      <c r="QPY1" s="159"/>
      <c r="QPZ1" s="159"/>
      <c r="QQA1" s="159"/>
      <c r="QQB1" s="159"/>
      <c r="QQC1" s="159"/>
      <c r="QQD1" s="159"/>
      <c r="QQE1" s="159"/>
      <c r="QQF1" s="159"/>
      <c r="QQG1" s="159"/>
      <c r="QQH1" s="159"/>
      <c r="QQI1" s="159"/>
      <c r="QQJ1" s="159"/>
      <c r="QQK1" s="159"/>
      <c r="QQL1" s="159"/>
      <c r="QQM1" s="159"/>
      <c r="QQN1" s="159"/>
      <c r="QQO1" s="159"/>
      <c r="QQP1" s="159"/>
      <c r="QQQ1" s="159"/>
      <c r="QQR1" s="159"/>
      <c r="QQS1" s="159"/>
      <c r="QQT1" s="159"/>
      <c r="QQU1" s="159"/>
      <c r="QQV1" s="159"/>
      <c r="QQW1" s="159"/>
      <c r="QQX1" s="159"/>
      <c r="QQY1" s="159"/>
      <c r="QQZ1" s="159"/>
      <c r="QRA1" s="159"/>
      <c r="QRB1" s="159"/>
      <c r="QRC1" s="159"/>
      <c r="QRD1" s="159"/>
      <c r="QRE1" s="159"/>
      <c r="QRF1" s="159"/>
      <c r="QRG1" s="159"/>
      <c r="QRH1" s="159"/>
      <c r="QRI1" s="159"/>
      <c r="QRJ1" s="159"/>
      <c r="QRK1" s="159"/>
      <c r="QRL1" s="159"/>
      <c r="QRM1" s="159"/>
      <c r="QRN1" s="159"/>
      <c r="QRO1" s="159"/>
      <c r="QRP1" s="159"/>
      <c r="QRQ1" s="159"/>
      <c r="QRR1" s="159"/>
      <c r="QRS1" s="159"/>
      <c r="QRT1" s="159"/>
      <c r="QRU1" s="159"/>
      <c r="QRV1" s="159"/>
      <c r="QRW1" s="159"/>
      <c r="QRX1" s="159"/>
      <c r="QRY1" s="159"/>
      <c r="QRZ1" s="159"/>
      <c r="QSA1" s="159"/>
      <c r="QSB1" s="159"/>
      <c r="QSC1" s="159"/>
      <c r="QSD1" s="159"/>
      <c r="QSE1" s="159"/>
      <c r="QSF1" s="159"/>
      <c r="QSG1" s="159"/>
      <c r="QSH1" s="159"/>
      <c r="QSI1" s="159"/>
      <c r="QSJ1" s="159"/>
      <c r="QSK1" s="159"/>
      <c r="QSL1" s="159"/>
      <c r="QSM1" s="159"/>
      <c r="QSN1" s="159"/>
      <c r="QSO1" s="159"/>
      <c r="QSP1" s="159"/>
      <c r="QSQ1" s="159"/>
      <c r="QSR1" s="159"/>
      <c r="QSS1" s="159"/>
      <c r="QST1" s="159"/>
      <c r="QSU1" s="159"/>
      <c r="QSV1" s="159"/>
      <c r="QSW1" s="159"/>
      <c r="QSX1" s="159"/>
      <c r="QSY1" s="159"/>
      <c r="QSZ1" s="159"/>
      <c r="QTA1" s="159"/>
      <c r="QTB1" s="159"/>
      <c r="QTC1" s="159"/>
      <c r="QTD1" s="159"/>
      <c r="QTE1" s="159"/>
      <c r="QTF1" s="159"/>
      <c r="QTG1" s="159"/>
      <c r="QTH1" s="159"/>
      <c r="QTI1" s="159"/>
      <c r="QTJ1" s="159"/>
      <c r="QTK1" s="159"/>
      <c r="QTL1" s="159"/>
      <c r="QTM1" s="159"/>
      <c r="QTN1" s="159"/>
      <c r="QTO1" s="159"/>
      <c r="QTP1" s="159"/>
      <c r="QTQ1" s="159"/>
      <c r="QTR1" s="159"/>
      <c r="QTS1" s="159"/>
      <c r="QTT1" s="159"/>
      <c r="QTU1" s="159"/>
      <c r="QTV1" s="159"/>
      <c r="QTW1" s="159"/>
      <c r="QTX1" s="159"/>
      <c r="QTY1" s="159"/>
      <c r="QTZ1" s="159"/>
      <c r="QUA1" s="159"/>
      <c r="QUB1" s="159"/>
      <c r="QUC1" s="159"/>
      <c r="QUD1" s="159"/>
      <c r="QUE1" s="159"/>
      <c r="QUF1" s="159"/>
      <c r="QUG1" s="159"/>
      <c r="QUH1" s="159"/>
      <c r="QUI1" s="159"/>
      <c r="QUJ1" s="159"/>
      <c r="QUK1" s="159"/>
      <c r="QUL1" s="159"/>
      <c r="QUM1" s="159"/>
      <c r="QUN1" s="159"/>
      <c r="QUO1" s="159"/>
      <c r="QUP1" s="159"/>
      <c r="QUQ1" s="159"/>
      <c r="QUR1" s="159"/>
      <c r="QUS1" s="159"/>
      <c r="QUT1" s="159"/>
      <c r="QUU1" s="159"/>
      <c r="QUV1" s="159"/>
      <c r="QUW1" s="159"/>
      <c r="QUX1" s="159"/>
      <c r="QUY1" s="159"/>
      <c r="QUZ1" s="159"/>
      <c r="QVA1" s="159"/>
      <c r="QVB1" s="159"/>
      <c r="QVC1" s="159"/>
      <c r="QVD1" s="159"/>
      <c r="QVE1" s="159"/>
      <c r="QVF1" s="159"/>
      <c r="QVG1" s="159"/>
      <c r="QVH1" s="159"/>
      <c r="QVI1" s="159"/>
      <c r="QVJ1" s="159"/>
      <c r="QVK1" s="159"/>
      <c r="QVL1" s="159"/>
      <c r="QVM1" s="159"/>
      <c r="QVN1" s="159"/>
      <c r="QVO1" s="159"/>
      <c r="QVP1" s="159"/>
      <c r="QVQ1" s="159"/>
      <c r="QVR1" s="159"/>
      <c r="QVS1" s="159"/>
      <c r="QVT1" s="159"/>
      <c r="QVU1" s="159"/>
      <c r="QVV1" s="159"/>
      <c r="QVW1" s="159"/>
      <c r="QVX1" s="159"/>
      <c r="QVY1" s="159"/>
      <c r="QVZ1" s="159"/>
      <c r="QWA1" s="159"/>
      <c r="QWB1" s="159"/>
      <c r="QWC1" s="159"/>
      <c r="QWD1" s="159"/>
      <c r="QWE1" s="159"/>
      <c r="QWF1" s="159"/>
      <c r="QWG1" s="159"/>
      <c r="QWH1" s="159"/>
      <c r="QWI1" s="159"/>
      <c r="QWJ1" s="159"/>
      <c r="QWK1" s="159"/>
      <c r="QWL1" s="159"/>
      <c r="QWM1" s="159"/>
      <c r="QWN1" s="159"/>
      <c r="QWO1" s="159"/>
      <c r="QWP1" s="159"/>
      <c r="QWQ1" s="159"/>
      <c r="QWR1" s="159"/>
      <c r="QWS1" s="159"/>
      <c r="QWT1" s="159"/>
      <c r="QWU1" s="159"/>
      <c r="QWV1" s="159"/>
      <c r="QWW1" s="159"/>
      <c r="QWX1" s="159"/>
      <c r="QWY1" s="159"/>
      <c r="QWZ1" s="159"/>
      <c r="QXA1" s="159"/>
      <c r="QXB1" s="159"/>
      <c r="QXC1" s="159"/>
      <c r="QXD1" s="159"/>
      <c r="QXE1" s="159"/>
      <c r="QXF1" s="159"/>
      <c r="QXG1" s="159"/>
      <c r="QXH1" s="159"/>
      <c r="QXI1" s="159"/>
      <c r="QXJ1" s="159"/>
      <c r="QXK1" s="159"/>
      <c r="QXL1" s="159"/>
      <c r="QYW1" s="159"/>
      <c r="QZK1" s="159"/>
      <c r="QZL1" s="159"/>
      <c r="QZM1" s="159"/>
      <c r="QZN1" s="159"/>
      <c r="QZO1" s="159"/>
      <c r="QZP1" s="159"/>
      <c r="QZQ1" s="159"/>
      <c r="QZR1" s="159"/>
      <c r="QZS1" s="159"/>
      <c r="QZT1" s="159"/>
      <c r="QZU1" s="159"/>
      <c r="QZV1" s="159"/>
      <c r="QZW1" s="159"/>
      <c r="QZX1" s="159"/>
      <c r="QZY1" s="159"/>
      <c r="QZZ1" s="159"/>
      <c r="RAA1" s="159"/>
      <c r="RAB1" s="159"/>
      <c r="RAC1" s="159"/>
      <c r="RAD1" s="159"/>
      <c r="RAE1" s="159"/>
      <c r="RAF1" s="159"/>
      <c r="RAG1" s="159"/>
      <c r="RAH1" s="159"/>
      <c r="RAI1" s="159"/>
      <c r="RAJ1" s="159"/>
      <c r="RAK1" s="159"/>
      <c r="RAL1" s="159"/>
      <c r="RAM1" s="159"/>
      <c r="RAN1" s="159"/>
      <c r="RAO1" s="159"/>
      <c r="RAP1" s="159"/>
      <c r="RAQ1" s="159"/>
      <c r="RAR1" s="159"/>
      <c r="RAS1" s="159"/>
      <c r="RAT1" s="159"/>
      <c r="RAU1" s="159"/>
      <c r="RAV1" s="159"/>
      <c r="RAW1" s="159"/>
      <c r="RAX1" s="159"/>
      <c r="RAY1" s="159"/>
      <c r="RAZ1" s="159"/>
      <c r="RBA1" s="159"/>
      <c r="RBB1" s="159"/>
      <c r="RBC1" s="159"/>
      <c r="RBD1" s="159"/>
      <c r="RBE1" s="159"/>
      <c r="RBF1" s="159"/>
      <c r="RBG1" s="159"/>
      <c r="RBH1" s="159"/>
      <c r="RBI1" s="159"/>
      <c r="RBJ1" s="159"/>
      <c r="RBK1" s="159"/>
      <c r="RBL1" s="159"/>
      <c r="RBM1" s="159"/>
      <c r="RBN1" s="159"/>
      <c r="RBO1" s="159"/>
      <c r="RBP1" s="159"/>
      <c r="RBQ1" s="159"/>
      <c r="RBR1" s="159"/>
      <c r="RBS1" s="159"/>
      <c r="RBT1" s="159"/>
      <c r="RBU1" s="159"/>
      <c r="RBV1" s="159"/>
      <c r="RBW1" s="159"/>
      <c r="RBX1" s="159"/>
      <c r="RBY1" s="159"/>
      <c r="RBZ1" s="159"/>
      <c r="RCA1" s="159"/>
      <c r="RCB1" s="159"/>
      <c r="RCC1" s="159"/>
      <c r="RCD1" s="159"/>
      <c r="RCE1" s="159"/>
      <c r="RCF1" s="159"/>
      <c r="RCG1" s="159"/>
      <c r="RCH1" s="159"/>
      <c r="RCI1" s="159"/>
      <c r="RCJ1" s="159"/>
      <c r="RCK1" s="159"/>
      <c r="RCL1" s="159"/>
      <c r="RCM1" s="159"/>
      <c r="RCN1" s="159"/>
      <c r="RCO1" s="159"/>
      <c r="RCP1" s="159"/>
      <c r="RCQ1" s="159"/>
      <c r="RCR1" s="159"/>
      <c r="RCS1" s="159"/>
      <c r="RCT1" s="159"/>
      <c r="RCU1" s="159"/>
      <c r="RCV1" s="159"/>
      <c r="RCW1" s="159"/>
      <c r="RCX1" s="159"/>
      <c r="RCY1" s="159"/>
      <c r="RCZ1" s="159"/>
      <c r="RDA1" s="159"/>
      <c r="RDB1" s="159"/>
      <c r="RDC1" s="159"/>
      <c r="RDD1" s="159"/>
      <c r="RDE1" s="159"/>
      <c r="RDF1" s="159"/>
      <c r="RDG1" s="159"/>
      <c r="RDH1" s="159"/>
      <c r="RDI1" s="159"/>
      <c r="RDJ1" s="159"/>
      <c r="RDK1" s="159"/>
      <c r="RDL1" s="159"/>
      <c r="RDM1" s="159"/>
      <c r="RDN1" s="159"/>
      <c r="RDO1" s="159"/>
      <c r="RDP1" s="159"/>
      <c r="RDQ1" s="159"/>
      <c r="RDR1" s="159"/>
      <c r="RDS1" s="159"/>
      <c r="RDT1" s="159"/>
      <c r="RDU1" s="159"/>
      <c r="RDV1" s="159"/>
      <c r="RDW1" s="159"/>
      <c r="RDX1" s="159"/>
      <c r="RDY1" s="159"/>
      <c r="RDZ1" s="159"/>
      <c r="REA1" s="159"/>
      <c r="REB1" s="159"/>
      <c r="REC1" s="159"/>
      <c r="RED1" s="159"/>
      <c r="REE1" s="159"/>
      <c r="REF1" s="159"/>
      <c r="REG1" s="159"/>
      <c r="REH1" s="159"/>
      <c r="REI1" s="159"/>
      <c r="REJ1" s="159"/>
      <c r="REK1" s="159"/>
      <c r="REL1" s="159"/>
      <c r="REM1" s="159"/>
      <c r="REN1" s="159"/>
      <c r="REO1" s="159"/>
      <c r="REP1" s="159"/>
      <c r="REQ1" s="159"/>
      <c r="RER1" s="159"/>
      <c r="RES1" s="159"/>
      <c r="RET1" s="159"/>
      <c r="REU1" s="159"/>
      <c r="REV1" s="159"/>
      <c r="REW1" s="159"/>
      <c r="REX1" s="159"/>
      <c r="REY1" s="159"/>
      <c r="REZ1" s="159"/>
      <c r="RFA1" s="159"/>
      <c r="RFB1" s="159"/>
      <c r="RFC1" s="159"/>
      <c r="RFD1" s="159"/>
      <c r="RFE1" s="159"/>
      <c r="RFF1" s="159"/>
      <c r="RFG1" s="159"/>
      <c r="RFH1" s="159"/>
      <c r="RFI1" s="159"/>
      <c r="RFJ1" s="159"/>
      <c r="RFK1" s="159"/>
      <c r="RFL1" s="159"/>
      <c r="RFM1" s="159"/>
      <c r="RFN1" s="159"/>
      <c r="RFO1" s="159"/>
      <c r="RFP1" s="159"/>
      <c r="RFQ1" s="159"/>
      <c r="RFR1" s="159"/>
      <c r="RFS1" s="159"/>
      <c r="RFT1" s="159"/>
      <c r="RFU1" s="159"/>
      <c r="RFV1" s="159"/>
      <c r="RFW1" s="159"/>
      <c r="RFX1" s="159"/>
      <c r="RFY1" s="159"/>
      <c r="RFZ1" s="159"/>
      <c r="RGA1" s="159"/>
      <c r="RGB1" s="159"/>
      <c r="RGC1" s="159"/>
      <c r="RGD1" s="159"/>
      <c r="RGE1" s="159"/>
      <c r="RGF1" s="159"/>
      <c r="RGG1" s="159"/>
      <c r="RGH1" s="159"/>
      <c r="RGI1" s="159"/>
      <c r="RGJ1" s="159"/>
      <c r="RGK1" s="159"/>
      <c r="RGL1" s="159"/>
      <c r="RGM1" s="159"/>
      <c r="RGN1" s="159"/>
      <c r="RGO1" s="159"/>
      <c r="RGP1" s="159"/>
      <c r="RGQ1" s="159"/>
      <c r="RGR1" s="159"/>
      <c r="RGS1" s="159"/>
      <c r="RGT1" s="159"/>
      <c r="RGU1" s="159"/>
      <c r="RGV1" s="159"/>
      <c r="RGW1" s="159"/>
      <c r="RGX1" s="159"/>
      <c r="RGY1" s="159"/>
      <c r="RGZ1" s="159"/>
      <c r="RHA1" s="159"/>
      <c r="RHB1" s="159"/>
      <c r="RHC1" s="159"/>
      <c r="RHD1" s="159"/>
      <c r="RHE1" s="159"/>
      <c r="RHF1" s="159"/>
      <c r="RHG1" s="159"/>
      <c r="RHH1" s="159"/>
      <c r="RIS1" s="159"/>
      <c r="RJG1" s="159"/>
      <c r="RJH1" s="159"/>
      <c r="RJI1" s="159"/>
      <c r="RJJ1" s="159"/>
      <c r="RJK1" s="159"/>
      <c r="RJL1" s="159"/>
      <c r="RJM1" s="159"/>
      <c r="RJN1" s="159"/>
      <c r="RJO1" s="159"/>
      <c r="RJP1" s="159"/>
      <c r="RJQ1" s="159"/>
      <c r="RJR1" s="159"/>
      <c r="RJS1" s="159"/>
      <c r="RJT1" s="159"/>
      <c r="RJU1" s="159"/>
      <c r="RJV1" s="159"/>
      <c r="RJW1" s="159"/>
      <c r="RJX1" s="159"/>
      <c r="RJY1" s="159"/>
      <c r="RJZ1" s="159"/>
      <c r="RKA1" s="159"/>
      <c r="RKB1" s="159"/>
      <c r="RKC1" s="159"/>
      <c r="RKD1" s="159"/>
      <c r="RKE1" s="159"/>
      <c r="RKF1" s="159"/>
      <c r="RKG1" s="159"/>
      <c r="RKH1" s="159"/>
      <c r="RKI1" s="159"/>
      <c r="RKJ1" s="159"/>
      <c r="RKK1" s="159"/>
      <c r="RKL1" s="159"/>
      <c r="RKM1" s="159"/>
      <c r="RKN1" s="159"/>
      <c r="RKO1" s="159"/>
      <c r="RKP1" s="159"/>
      <c r="RKQ1" s="159"/>
      <c r="RKR1" s="159"/>
      <c r="RKS1" s="159"/>
      <c r="RKT1" s="159"/>
      <c r="RKU1" s="159"/>
      <c r="RKV1" s="159"/>
      <c r="RKW1" s="159"/>
      <c r="RKX1" s="159"/>
      <c r="RKY1" s="159"/>
      <c r="RKZ1" s="159"/>
      <c r="RLA1" s="159"/>
      <c r="RLB1" s="159"/>
      <c r="RLC1" s="159"/>
      <c r="RLD1" s="159"/>
      <c r="RLE1" s="159"/>
      <c r="RLF1" s="159"/>
      <c r="RLG1" s="159"/>
      <c r="RLH1" s="159"/>
      <c r="RLI1" s="159"/>
      <c r="RLJ1" s="159"/>
      <c r="RLK1" s="159"/>
      <c r="RLL1" s="159"/>
      <c r="RLM1" s="159"/>
      <c r="RLN1" s="159"/>
      <c r="RLO1" s="159"/>
      <c r="RLP1" s="159"/>
      <c r="RLQ1" s="159"/>
      <c r="RLR1" s="159"/>
      <c r="RLS1" s="159"/>
      <c r="RLT1" s="159"/>
      <c r="RLU1" s="159"/>
      <c r="RLV1" s="159"/>
      <c r="RLW1" s="159"/>
      <c r="RLX1" s="159"/>
      <c r="RLY1" s="159"/>
      <c r="RLZ1" s="159"/>
      <c r="RMA1" s="159"/>
      <c r="RMB1" s="159"/>
      <c r="RMC1" s="159"/>
      <c r="RMD1" s="159"/>
      <c r="RME1" s="159"/>
      <c r="RMF1" s="159"/>
      <c r="RMG1" s="159"/>
      <c r="RMH1" s="159"/>
      <c r="RMI1" s="159"/>
      <c r="RMJ1" s="159"/>
      <c r="RMK1" s="159"/>
      <c r="RML1" s="159"/>
      <c r="RMM1" s="159"/>
      <c r="RMN1" s="159"/>
      <c r="RMO1" s="159"/>
      <c r="RMP1" s="159"/>
      <c r="RMQ1" s="159"/>
      <c r="RMR1" s="159"/>
      <c r="RMS1" s="159"/>
      <c r="RMT1" s="159"/>
      <c r="RMU1" s="159"/>
      <c r="RMV1" s="159"/>
      <c r="RMW1" s="159"/>
      <c r="RMX1" s="159"/>
      <c r="RMY1" s="159"/>
      <c r="RMZ1" s="159"/>
      <c r="RNA1" s="159"/>
      <c r="RNB1" s="159"/>
      <c r="RNC1" s="159"/>
      <c r="RND1" s="159"/>
      <c r="RNE1" s="159"/>
      <c r="RNF1" s="159"/>
      <c r="RNG1" s="159"/>
      <c r="RNH1" s="159"/>
      <c r="RNI1" s="159"/>
      <c r="RNJ1" s="159"/>
      <c r="RNK1" s="159"/>
      <c r="RNL1" s="159"/>
      <c r="RNM1" s="159"/>
      <c r="RNN1" s="159"/>
      <c r="RNO1" s="159"/>
      <c r="RNP1" s="159"/>
      <c r="RNQ1" s="159"/>
      <c r="RNR1" s="159"/>
      <c r="RNS1" s="159"/>
      <c r="RNT1" s="159"/>
      <c r="RNU1" s="159"/>
      <c r="RNV1" s="159"/>
      <c r="RNW1" s="159"/>
      <c r="RNX1" s="159"/>
      <c r="RNY1" s="159"/>
      <c r="RNZ1" s="159"/>
      <c r="ROA1" s="159"/>
      <c r="ROB1" s="159"/>
      <c r="ROC1" s="159"/>
      <c r="ROD1" s="159"/>
      <c r="ROE1" s="159"/>
      <c r="ROF1" s="159"/>
      <c r="ROG1" s="159"/>
      <c r="ROH1" s="159"/>
      <c r="ROI1" s="159"/>
      <c r="ROJ1" s="159"/>
      <c r="ROK1" s="159"/>
      <c r="ROL1" s="159"/>
      <c r="ROM1" s="159"/>
      <c r="RON1" s="159"/>
      <c r="ROO1" s="159"/>
      <c r="ROP1" s="159"/>
      <c r="ROQ1" s="159"/>
      <c r="ROR1" s="159"/>
      <c r="ROS1" s="159"/>
      <c r="ROT1" s="159"/>
      <c r="ROU1" s="159"/>
      <c r="ROV1" s="159"/>
      <c r="ROW1" s="159"/>
      <c r="ROX1" s="159"/>
      <c r="ROY1" s="159"/>
      <c r="ROZ1" s="159"/>
      <c r="RPA1" s="159"/>
      <c r="RPB1" s="159"/>
      <c r="RPC1" s="159"/>
      <c r="RPD1" s="159"/>
      <c r="RPE1" s="159"/>
      <c r="RPF1" s="159"/>
      <c r="RPG1" s="159"/>
      <c r="RPH1" s="159"/>
      <c r="RPI1" s="159"/>
      <c r="RPJ1" s="159"/>
      <c r="RPK1" s="159"/>
      <c r="RPL1" s="159"/>
      <c r="RPM1" s="159"/>
      <c r="RPN1" s="159"/>
      <c r="RPO1" s="159"/>
      <c r="RPP1" s="159"/>
      <c r="RPQ1" s="159"/>
      <c r="RPR1" s="159"/>
      <c r="RPS1" s="159"/>
      <c r="RPT1" s="159"/>
      <c r="RPU1" s="159"/>
      <c r="RPV1" s="159"/>
      <c r="RPW1" s="159"/>
      <c r="RPX1" s="159"/>
      <c r="RPY1" s="159"/>
      <c r="RPZ1" s="159"/>
      <c r="RQA1" s="159"/>
      <c r="RQB1" s="159"/>
      <c r="RQC1" s="159"/>
      <c r="RQD1" s="159"/>
      <c r="RQE1" s="159"/>
      <c r="RQF1" s="159"/>
      <c r="RQG1" s="159"/>
      <c r="RQH1" s="159"/>
      <c r="RQI1" s="159"/>
      <c r="RQJ1" s="159"/>
      <c r="RQK1" s="159"/>
      <c r="RQL1" s="159"/>
      <c r="RQM1" s="159"/>
      <c r="RQN1" s="159"/>
      <c r="RQO1" s="159"/>
      <c r="RQP1" s="159"/>
      <c r="RQQ1" s="159"/>
      <c r="RQR1" s="159"/>
      <c r="RQS1" s="159"/>
      <c r="RQT1" s="159"/>
      <c r="RQU1" s="159"/>
      <c r="RQV1" s="159"/>
      <c r="RQW1" s="159"/>
      <c r="RQX1" s="159"/>
      <c r="RQY1" s="159"/>
      <c r="RQZ1" s="159"/>
      <c r="RRA1" s="159"/>
      <c r="RRB1" s="159"/>
      <c r="RRC1" s="159"/>
      <c r="RRD1" s="159"/>
      <c r="RSO1" s="159"/>
      <c r="RTC1" s="159"/>
      <c r="RTD1" s="159"/>
      <c r="RTE1" s="159"/>
      <c r="RTF1" s="159"/>
      <c r="RTG1" s="159"/>
      <c r="RTH1" s="159"/>
      <c r="RTI1" s="159"/>
      <c r="RTJ1" s="159"/>
      <c r="RTK1" s="159"/>
      <c r="RTL1" s="159"/>
      <c r="RTM1" s="159"/>
      <c r="RTN1" s="159"/>
      <c r="RTO1" s="159"/>
      <c r="RTP1" s="159"/>
      <c r="RTQ1" s="159"/>
      <c r="RTR1" s="159"/>
      <c r="RTS1" s="159"/>
      <c r="RTT1" s="159"/>
      <c r="RTU1" s="159"/>
      <c r="RTV1" s="159"/>
      <c r="RTW1" s="159"/>
      <c r="RTX1" s="159"/>
      <c r="RTY1" s="159"/>
      <c r="RTZ1" s="159"/>
      <c r="RUA1" s="159"/>
      <c r="RUB1" s="159"/>
      <c r="RUC1" s="159"/>
      <c r="RUD1" s="159"/>
      <c r="RUE1" s="159"/>
      <c r="RUF1" s="159"/>
      <c r="RUG1" s="159"/>
      <c r="RUH1" s="159"/>
      <c r="RUI1" s="159"/>
      <c r="RUJ1" s="159"/>
      <c r="RUK1" s="159"/>
      <c r="RUL1" s="159"/>
      <c r="RUM1" s="159"/>
      <c r="RUN1" s="159"/>
      <c r="RUO1" s="159"/>
      <c r="RUP1" s="159"/>
      <c r="RUQ1" s="159"/>
      <c r="RUR1" s="159"/>
      <c r="RUS1" s="159"/>
      <c r="RUT1" s="159"/>
      <c r="RUU1" s="159"/>
      <c r="RUV1" s="159"/>
      <c r="RUW1" s="159"/>
      <c r="RUX1" s="159"/>
      <c r="RUY1" s="159"/>
      <c r="RUZ1" s="159"/>
      <c r="RVA1" s="159"/>
      <c r="RVB1" s="159"/>
      <c r="RVC1" s="159"/>
      <c r="RVD1" s="159"/>
      <c r="RVE1" s="159"/>
      <c r="RVF1" s="159"/>
      <c r="RVG1" s="159"/>
      <c r="RVH1" s="159"/>
      <c r="RVI1" s="159"/>
      <c r="RVJ1" s="159"/>
      <c r="RVK1" s="159"/>
      <c r="RVL1" s="159"/>
      <c r="RVM1" s="159"/>
      <c r="RVN1" s="159"/>
      <c r="RVO1" s="159"/>
      <c r="RVP1" s="159"/>
      <c r="RVQ1" s="159"/>
      <c r="RVR1" s="159"/>
      <c r="RVS1" s="159"/>
      <c r="RVT1" s="159"/>
      <c r="RVU1" s="159"/>
      <c r="RVV1" s="159"/>
      <c r="RVW1" s="159"/>
      <c r="RVX1" s="159"/>
      <c r="RVY1" s="159"/>
      <c r="RVZ1" s="159"/>
      <c r="RWA1" s="159"/>
      <c r="RWB1" s="159"/>
      <c r="RWC1" s="159"/>
      <c r="RWD1" s="159"/>
      <c r="RWE1" s="159"/>
      <c r="RWF1" s="159"/>
      <c r="RWG1" s="159"/>
      <c r="RWH1" s="159"/>
      <c r="RWI1" s="159"/>
      <c r="RWJ1" s="159"/>
      <c r="RWK1" s="159"/>
      <c r="RWL1" s="159"/>
      <c r="RWM1" s="159"/>
      <c r="RWN1" s="159"/>
      <c r="RWO1" s="159"/>
      <c r="RWP1" s="159"/>
      <c r="RWQ1" s="159"/>
      <c r="RWR1" s="159"/>
      <c r="RWS1" s="159"/>
      <c r="RWT1" s="159"/>
      <c r="RWU1" s="159"/>
      <c r="RWV1" s="159"/>
      <c r="RWW1" s="159"/>
      <c r="RWX1" s="159"/>
      <c r="RWY1" s="159"/>
      <c r="RWZ1" s="159"/>
      <c r="RXA1" s="159"/>
      <c r="RXB1" s="159"/>
      <c r="RXC1" s="159"/>
      <c r="RXD1" s="159"/>
      <c r="RXE1" s="159"/>
      <c r="RXF1" s="159"/>
      <c r="RXG1" s="159"/>
      <c r="RXH1" s="159"/>
      <c r="RXI1" s="159"/>
      <c r="RXJ1" s="159"/>
      <c r="RXK1" s="159"/>
      <c r="RXL1" s="159"/>
      <c r="RXM1" s="159"/>
      <c r="RXN1" s="159"/>
      <c r="RXO1" s="159"/>
      <c r="RXP1" s="159"/>
      <c r="RXQ1" s="159"/>
      <c r="RXR1" s="159"/>
      <c r="RXS1" s="159"/>
      <c r="RXT1" s="159"/>
      <c r="RXU1" s="159"/>
      <c r="RXV1" s="159"/>
      <c r="RXW1" s="159"/>
      <c r="RXX1" s="159"/>
      <c r="RXY1" s="159"/>
      <c r="RXZ1" s="159"/>
      <c r="RYA1" s="159"/>
      <c r="RYB1" s="159"/>
      <c r="RYC1" s="159"/>
      <c r="RYD1" s="159"/>
      <c r="RYE1" s="159"/>
      <c r="RYF1" s="159"/>
      <c r="RYG1" s="159"/>
      <c r="RYH1" s="159"/>
      <c r="RYI1" s="159"/>
      <c r="RYJ1" s="159"/>
      <c r="RYK1" s="159"/>
      <c r="RYL1" s="159"/>
      <c r="RYM1" s="159"/>
      <c r="RYN1" s="159"/>
      <c r="RYO1" s="159"/>
      <c r="RYP1" s="159"/>
      <c r="RYQ1" s="159"/>
      <c r="RYR1" s="159"/>
      <c r="RYS1" s="159"/>
      <c r="RYT1" s="159"/>
      <c r="RYU1" s="159"/>
      <c r="RYV1" s="159"/>
      <c r="RYW1" s="159"/>
      <c r="RYX1" s="159"/>
      <c r="RYY1" s="159"/>
      <c r="RYZ1" s="159"/>
      <c r="RZA1" s="159"/>
      <c r="RZB1" s="159"/>
      <c r="RZC1" s="159"/>
      <c r="RZD1" s="159"/>
      <c r="RZE1" s="159"/>
      <c r="RZF1" s="159"/>
      <c r="RZG1" s="159"/>
      <c r="RZH1" s="159"/>
      <c r="RZI1" s="159"/>
      <c r="RZJ1" s="159"/>
      <c r="RZK1" s="159"/>
      <c r="RZL1" s="159"/>
      <c r="RZM1" s="159"/>
      <c r="RZN1" s="159"/>
      <c r="RZO1" s="159"/>
      <c r="RZP1" s="159"/>
      <c r="RZQ1" s="159"/>
      <c r="RZR1" s="159"/>
      <c r="RZS1" s="159"/>
      <c r="RZT1" s="159"/>
      <c r="RZU1" s="159"/>
      <c r="RZV1" s="159"/>
      <c r="RZW1" s="159"/>
      <c r="RZX1" s="159"/>
      <c r="RZY1" s="159"/>
      <c r="RZZ1" s="159"/>
      <c r="SAA1" s="159"/>
      <c r="SAB1" s="159"/>
      <c r="SAC1" s="159"/>
      <c r="SAD1" s="159"/>
      <c r="SAE1" s="159"/>
      <c r="SAF1" s="159"/>
      <c r="SAG1" s="159"/>
      <c r="SAH1" s="159"/>
      <c r="SAI1" s="159"/>
      <c r="SAJ1" s="159"/>
      <c r="SAK1" s="159"/>
      <c r="SAL1" s="159"/>
      <c r="SAM1" s="159"/>
      <c r="SAN1" s="159"/>
      <c r="SAO1" s="159"/>
      <c r="SAP1" s="159"/>
      <c r="SAQ1" s="159"/>
      <c r="SAR1" s="159"/>
      <c r="SAS1" s="159"/>
      <c r="SAT1" s="159"/>
      <c r="SAU1" s="159"/>
      <c r="SAV1" s="159"/>
      <c r="SAW1" s="159"/>
      <c r="SAX1" s="159"/>
      <c r="SAY1" s="159"/>
      <c r="SAZ1" s="159"/>
      <c r="SCK1" s="159"/>
      <c r="SCY1" s="159"/>
      <c r="SCZ1" s="159"/>
      <c r="SDA1" s="159"/>
      <c r="SDB1" s="159"/>
      <c r="SDC1" s="159"/>
      <c r="SDD1" s="159"/>
      <c r="SDE1" s="159"/>
      <c r="SDF1" s="159"/>
      <c r="SDG1" s="159"/>
      <c r="SDH1" s="159"/>
      <c r="SDI1" s="159"/>
      <c r="SDJ1" s="159"/>
      <c r="SDK1" s="159"/>
      <c r="SDL1" s="159"/>
      <c r="SDM1" s="159"/>
      <c r="SDN1" s="159"/>
      <c r="SDO1" s="159"/>
      <c r="SDP1" s="159"/>
      <c r="SDQ1" s="159"/>
      <c r="SDR1" s="159"/>
      <c r="SDS1" s="159"/>
      <c r="SDT1" s="159"/>
      <c r="SDU1" s="159"/>
      <c r="SDV1" s="159"/>
      <c r="SDW1" s="159"/>
      <c r="SDX1" s="159"/>
      <c r="SDY1" s="159"/>
      <c r="SDZ1" s="159"/>
      <c r="SEA1" s="159"/>
      <c r="SEB1" s="159"/>
      <c r="SEC1" s="159"/>
      <c r="SED1" s="159"/>
      <c r="SEE1" s="159"/>
      <c r="SEF1" s="159"/>
      <c r="SEG1" s="159"/>
      <c r="SEH1" s="159"/>
      <c r="SEI1" s="159"/>
      <c r="SEJ1" s="159"/>
      <c r="SEK1" s="159"/>
      <c r="SEL1" s="159"/>
      <c r="SEM1" s="159"/>
      <c r="SEN1" s="159"/>
      <c r="SEO1" s="159"/>
      <c r="SEP1" s="159"/>
      <c r="SEQ1" s="159"/>
      <c r="SER1" s="159"/>
      <c r="SES1" s="159"/>
      <c r="SET1" s="159"/>
      <c r="SEU1" s="159"/>
      <c r="SEV1" s="159"/>
      <c r="SEW1" s="159"/>
      <c r="SEX1" s="159"/>
      <c r="SEY1" s="159"/>
      <c r="SEZ1" s="159"/>
      <c r="SFA1" s="159"/>
      <c r="SFB1" s="159"/>
      <c r="SFC1" s="159"/>
      <c r="SFD1" s="159"/>
      <c r="SFE1" s="159"/>
      <c r="SFF1" s="159"/>
      <c r="SFG1" s="159"/>
      <c r="SFH1" s="159"/>
      <c r="SFI1" s="159"/>
      <c r="SFJ1" s="159"/>
      <c r="SFK1" s="159"/>
      <c r="SFL1" s="159"/>
      <c r="SFM1" s="159"/>
      <c r="SFN1" s="159"/>
      <c r="SFO1" s="159"/>
      <c r="SFP1" s="159"/>
      <c r="SFQ1" s="159"/>
      <c r="SFR1" s="159"/>
      <c r="SFS1" s="159"/>
      <c r="SFT1" s="159"/>
      <c r="SFU1" s="159"/>
      <c r="SFV1" s="159"/>
      <c r="SFW1" s="159"/>
      <c r="SFX1" s="159"/>
      <c r="SFY1" s="159"/>
      <c r="SFZ1" s="159"/>
      <c r="SGA1" s="159"/>
      <c r="SGB1" s="159"/>
      <c r="SGC1" s="159"/>
      <c r="SGD1" s="159"/>
      <c r="SGE1" s="159"/>
      <c r="SGF1" s="159"/>
      <c r="SGG1" s="159"/>
      <c r="SGH1" s="159"/>
      <c r="SGI1" s="159"/>
      <c r="SGJ1" s="159"/>
      <c r="SGK1" s="159"/>
      <c r="SGL1" s="159"/>
      <c r="SGM1" s="159"/>
      <c r="SGN1" s="159"/>
      <c r="SGO1" s="159"/>
      <c r="SGP1" s="159"/>
      <c r="SGQ1" s="159"/>
      <c r="SGR1" s="159"/>
      <c r="SGS1" s="159"/>
      <c r="SGT1" s="159"/>
      <c r="SGU1" s="159"/>
      <c r="SGV1" s="159"/>
      <c r="SGW1" s="159"/>
      <c r="SGX1" s="159"/>
      <c r="SGY1" s="159"/>
      <c r="SGZ1" s="159"/>
      <c r="SHA1" s="159"/>
      <c r="SHB1" s="159"/>
      <c r="SHC1" s="159"/>
      <c r="SHD1" s="159"/>
      <c r="SHE1" s="159"/>
      <c r="SHF1" s="159"/>
      <c r="SHG1" s="159"/>
      <c r="SHH1" s="159"/>
      <c r="SHI1" s="159"/>
      <c r="SHJ1" s="159"/>
      <c r="SHK1" s="159"/>
      <c r="SHL1" s="159"/>
      <c r="SHM1" s="159"/>
      <c r="SHN1" s="159"/>
      <c r="SHO1" s="159"/>
      <c r="SHP1" s="159"/>
      <c r="SHQ1" s="159"/>
      <c r="SHR1" s="159"/>
      <c r="SHS1" s="159"/>
      <c r="SHT1" s="159"/>
      <c r="SHU1" s="159"/>
      <c r="SHV1" s="159"/>
      <c r="SHW1" s="159"/>
      <c r="SHX1" s="159"/>
      <c r="SHY1" s="159"/>
      <c r="SHZ1" s="159"/>
      <c r="SIA1" s="159"/>
      <c r="SIB1" s="159"/>
      <c r="SIC1" s="159"/>
      <c r="SID1" s="159"/>
      <c r="SIE1" s="159"/>
      <c r="SIF1" s="159"/>
      <c r="SIG1" s="159"/>
      <c r="SIH1" s="159"/>
      <c r="SII1" s="159"/>
      <c r="SIJ1" s="159"/>
      <c r="SIK1" s="159"/>
      <c r="SIL1" s="159"/>
      <c r="SIM1" s="159"/>
      <c r="SIN1" s="159"/>
      <c r="SIO1" s="159"/>
      <c r="SIP1" s="159"/>
      <c r="SIQ1" s="159"/>
      <c r="SIR1" s="159"/>
      <c r="SIS1" s="159"/>
      <c r="SIT1" s="159"/>
      <c r="SIU1" s="159"/>
      <c r="SIV1" s="159"/>
      <c r="SIW1" s="159"/>
      <c r="SIX1" s="159"/>
      <c r="SIY1" s="159"/>
      <c r="SIZ1" s="159"/>
      <c r="SJA1" s="159"/>
      <c r="SJB1" s="159"/>
      <c r="SJC1" s="159"/>
      <c r="SJD1" s="159"/>
      <c r="SJE1" s="159"/>
      <c r="SJF1" s="159"/>
      <c r="SJG1" s="159"/>
      <c r="SJH1" s="159"/>
      <c r="SJI1" s="159"/>
      <c r="SJJ1" s="159"/>
      <c r="SJK1" s="159"/>
      <c r="SJL1" s="159"/>
      <c r="SJM1" s="159"/>
      <c r="SJN1" s="159"/>
      <c r="SJO1" s="159"/>
      <c r="SJP1" s="159"/>
      <c r="SJQ1" s="159"/>
      <c r="SJR1" s="159"/>
      <c r="SJS1" s="159"/>
      <c r="SJT1" s="159"/>
      <c r="SJU1" s="159"/>
      <c r="SJV1" s="159"/>
      <c r="SJW1" s="159"/>
      <c r="SJX1" s="159"/>
      <c r="SJY1" s="159"/>
      <c r="SJZ1" s="159"/>
      <c r="SKA1" s="159"/>
      <c r="SKB1" s="159"/>
      <c r="SKC1" s="159"/>
      <c r="SKD1" s="159"/>
      <c r="SKE1" s="159"/>
      <c r="SKF1" s="159"/>
      <c r="SKG1" s="159"/>
      <c r="SKH1" s="159"/>
      <c r="SKI1" s="159"/>
      <c r="SKJ1" s="159"/>
      <c r="SKK1" s="159"/>
      <c r="SKL1" s="159"/>
      <c r="SKM1" s="159"/>
      <c r="SKN1" s="159"/>
      <c r="SKO1" s="159"/>
      <c r="SKP1" s="159"/>
      <c r="SKQ1" s="159"/>
      <c r="SKR1" s="159"/>
      <c r="SKS1" s="159"/>
      <c r="SKT1" s="159"/>
      <c r="SKU1" s="159"/>
      <c r="SKV1" s="159"/>
      <c r="SMG1" s="159"/>
      <c r="SMU1" s="159"/>
      <c r="SMV1" s="159"/>
      <c r="SMW1" s="159"/>
      <c r="SMX1" s="159"/>
      <c r="SMY1" s="159"/>
      <c r="SMZ1" s="159"/>
      <c r="SNA1" s="159"/>
      <c r="SNB1" s="159"/>
      <c r="SNC1" s="159"/>
      <c r="SND1" s="159"/>
      <c r="SNE1" s="159"/>
      <c r="SNF1" s="159"/>
      <c r="SNG1" s="159"/>
      <c r="SNH1" s="159"/>
      <c r="SNI1" s="159"/>
      <c r="SNJ1" s="159"/>
      <c r="SNK1" s="159"/>
      <c r="SNL1" s="159"/>
      <c r="SNM1" s="159"/>
      <c r="SNN1" s="159"/>
      <c r="SNO1" s="159"/>
      <c r="SNP1" s="159"/>
      <c r="SNQ1" s="159"/>
      <c r="SNR1" s="159"/>
      <c r="SNS1" s="159"/>
      <c r="SNT1" s="159"/>
      <c r="SNU1" s="159"/>
      <c r="SNV1" s="159"/>
      <c r="SNW1" s="159"/>
      <c r="SNX1" s="159"/>
      <c r="SNY1" s="159"/>
      <c r="SNZ1" s="159"/>
      <c r="SOA1" s="159"/>
      <c r="SOB1" s="159"/>
      <c r="SOC1" s="159"/>
      <c r="SOD1" s="159"/>
      <c r="SOE1" s="159"/>
      <c r="SOF1" s="159"/>
      <c r="SOG1" s="159"/>
      <c r="SOH1" s="159"/>
      <c r="SOI1" s="159"/>
      <c r="SOJ1" s="159"/>
      <c r="SOK1" s="159"/>
      <c r="SOL1" s="159"/>
      <c r="SOM1" s="159"/>
      <c r="SON1" s="159"/>
      <c r="SOO1" s="159"/>
      <c r="SOP1" s="159"/>
      <c r="SOQ1" s="159"/>
      <c r="SOR1" s="159"/>
      <c r="SOS1" s="159"/>
      <c r="SOT1" s="159"/>
      <c r="SOU1" s="159"/>
      <c r="SOV1" s="159"/>
      <c r="SOW1" s="159"/>
      <c r="SOX1" s="159"/>
      <c r="SOY1" s="159"/>
      <c r="SOZ1" s="159"/>
      <c r="SPA1" s="159"/>
      <c r="SPB1" s="159"/>
      <c r="SPC1" s="159"/>
      <c r="SPD1" s="159"/>
      <c r="SPE1" s="159"/>
      <c r="SPF1" s="159"/>
      <c r="SPG1" s="159"/>
      <c r="SPH1" s="159"/>
      <c r="SPI1" s="159"/>
      <c r="SPJ1" s="159"/>
      <c r="SPK1" s="159"/>
      <c r="SPL1" s="159"/>
      <c r="SPM1" s="159"/>
      <c r="SPN1" s="159"/>
      <c r="SPO1" s="159"/>
      <c r="SPP1" s="159"/>
      <c r="SPQ1" s="159"/>
      <c r="SPR1" s="159"/>
      <c r="SPS1" s="159"/>
      <c r="SPT1" s="159"/>
      <c r="SPU1" s="159"/>
      <c r="SPV1" s="159"/>
      <c r="SPW1" s="159"/>
      <c r="SPX1" s="159"/>
      <c r="SPY1" s="159"/>
      <c r="SPZ1" s="159"/>
      <c r="SQA1" s="159"/>
      <c r="SQB1" s="159"/>
      <c r="SQC1" s="159"/>
      <c r="SQD1" s="159"/>
      <c r="SQE1" s="159"/>
      <c r="SQF1" s="159"/>
      <c r="SQG1" s="159"/>
      <c r="SQH1" s="159"/>
      <c r="SQI1" s="159"/>
      <c r="SQJ1" s="159"/>
      <c r="SQK1" s="159"/>
      <c r="SQL1" s="159"/>
      <c r="SQM1" s="159"/>
      <c r="SQN1" s="159"/>
      <c r="SQO1" s="159"/>
      <c r="SQP1" s="159"/>
      <c r="SQQ1" s="159"/>
      <c r="SQR1" s="159"/>
      <c r="SQS1" s="159"/>
      <c r="SQT1" s="159"/>
      <c r="SQU1" s="159"/>
      <c r="SQV1" s="159"/>
      <c r="SQW1" s="159"/>
      <c r="SQX1" s="159"/>
      <c r="SQY1" s="159"/>
      <c r="SQZ1" s="159"/>
      <c r="SRA1" s="159"/>
      <c r="SRB1" s="159"/>
      <c r="SRC1" s="159"/>
      <c r="SRD1" s="159"/>
      <c r="SRE1" s="159"/>
      <c r="SRF1" s="159"/>
      <c r="SRG1" s="159"/>
      <c r="SRH1" s="159"/>
      <c r="SRI1" s="159"/>
      <c r="SRJ1" s="159"/>
      <c r="SRK1" s="159"/>
      <c r="SRL1" s="159"/>
      <c r="SRM1" s="159"/>
      <c r="SRN1" s="159"/>
      <c r="SRO1" s="159"/>
      <c r="SRP1" s="159"/>
      <c r="SRQ1" s="159"/>
      <c r="SRR1" s="159"/>
      <c r="SRS1" s="159"/>
      <c r="SRT1" s="159"/>
      <c r="SRU1" s="159"/>
      <c r="SRV1" s="159"/>
      <c r="SRW1" s="159"/>
      <c r="SRX1" s="159"/>
      <c r="SRY1" s="159"/>
      <c r="SRZ1" s="159"/>
      <c r="SSA1" s="159"/>
      <c r="SSB1" s="159"/>
      <c r="SSC1" s="159"/>
      <c r="SSD1" s="159"/>
      <c r="SSE1" s="159"/>
      <c r="SSF1" s="159"/>
      <c r="SSG1" s="159"/>
      <c r="SSH1" s="159"/>
      <c r="SSI1" s="159"/>
      <c r="SSJ1" s="159"/>
      <c r="SSK1" s="159"/>
      <c r="SSL1" s="159"/>
      <c r="SSM1" s="159"/>
      <c r="SSN1" s="159"/>
      <c r="SSO1" s="159"/>
      <c r="SSP1" s="159"/>
      <c r="SSQ1" s="159"/>
      <c r="SSR1" s="159"/>
      <c r="SSS1" s="159"/>
      <c r="SST1" s="159"/>
      <c r="SSU1" s="159"/>
      <c r="SSV1" s="159"/>
      <c r="SSW1" s="159"/>
      <c r="SSX1" s="159"/>
      <c r="SSY1" s="159"/>
      <c r="SSZ1" s="159"/>
      <c r="STA1" s="159"/>
      <c r="STB1" s="159"/>
      <c r="STC1" s="159"/>
      <c r="STD1" s="159"/>
      <c r="STE1" s="159"/>
      <c r="STF1" s="159"/>
      <c r="STG1" s="159"/>
      <c r="STH1" s="159"/>
      <c r="STI1" s="159"/>
      <c r="STJ1" s="159"/>
      <c r="STK1" s="159"/>
      <c r="STL1" s="159"/>
      <c r="STM1" s="159"/>
      <c r="STN1" s="159"/>
      <c r="STO1" s="159"/>
      <c r="STP1" s="159"/>
      <c r="STQ1" s="159"/>
      <c r="STR1" s="159"/>
      <c r="STS1" s="159"/>
      <c r="STT1" s="159"/>
      <c r="STU1" s="159"/>
      <c r="STV1" s="159"/>
      <c r="STW1" s="159"/>
      <c r="STX1" s="159"/>
      <c r="STY1" s="159"/>
      <c r="STZ1" s="159"/>
      <c r="SUA1" s="159"/>
      <c r="SUB1" s="159"/>
      <c r="SUC1" s="159"/>
      <c r="SUD1" s="159"/>
      <c r="SUE1" s="159"/>
      <c r="SUF1" s="159"/>
      <c r="SUG1" s="159"/>
      <c r="SUH1" s="159"/>
      <c r="SUI1" s="159"/>
      <c r="SUJ1" s="159"/>
      <c r="SUK1" s="159"/>
      <c r="SUL1" s="159"/>
      <c r="SUM1" s="159"/>
      <c r="SUN1" s="159"/>
      <c r="SUO1" s="159"/>
      <c r="SUP1" s="159"/>
      <c r="SUQ1" s="159"/>
      <c r="SUR1" s="159"/>
      <c r="SWC1" s="159"/>
      <c r="SWQ1" s="159"/>
      <c r="SWR1" s="159"/>
      <c r="SWS1" s="159"/>
      <c r="SWT1" s="159"/>
      <c r="SWU1" s="159"/>
      <c r="SWV1" s="159"/>
      <c r="SWW1" s="159"/>
      <c r="SWX1" s="159"/>
      <c r="SWY1" s="159"/>
      <c r="SWZ1" s="159"/>
      <c r="SXA1" s="159"/>
      <c r="SXB1" s="159"/>
      <c r="SXC1" s="159"/>
      <c r="SXD1" s="159"/>
      <c r="SXE1" s="159"/>
      <c r="SXF1" s="159"/>
      <c r="SXG1" s="159"/>
      <c r="SXH1" s="159"/>
      <c r="SXI1" s="159"/>
      <c r="SXJ1" s="159"/>
      <c r="SXK1" s="159"/>
      <c r="SXL1" s="159"/>
      <c r="SXM1" s="159"/>
      <c r="SXN1" s="159"/>
      <c r="SXO1" s="159"/>
      <c r="SXP1" s="159"/>
      <c r="SXQ1" s="159"/>
      <c r="SXR1" s="159"/>
      <c r="SXS1" s="159"/>
      <c r="SXT1" s="159"/>
      <c r="SXU1" s="159"/>
      <c r="SXV1" s="159"/>
      <c r="SXW1" s="159"/>
      <c r="SXX1" s="159"/>
      <c r="SXY1" s="159"/>
      <c r="SXZ1" s="159"/>
      <c r="SYA1" s="159"/>
      <c r="SYB1" s="159"/>
      <c r="SYC1" s="159"/>
      <c r="SYD1" s="159"/>
      <c r="SYE1" s="159"/>
      <c r="SYF1" s="159"/>
      <c r="SYG1" s="159"/>
      <c r="SYH1" s="159"/>
      <c r="SYI1" s="159"/>
      <c r="SYJ1" s="159"/>
      <c r="SYK1" s="159"/>
      <c r="SYL1" s="159"/>
      <c r="SYM1" s="159"/>
      <c r="SYN1" s="159"/>
      <c r="SYO1" s="159"/>
      <c r="SYP1" s="159"/>
      <c r="SYQ1" s="159"/>
      <c r="SYR1" s="159"/>
      <c r="SYS1" s="159"/>
      <c r="SYT1" s="159"/>
      <c r="SYU1" s="159"/>
      <c r="SYV1" s="159"/>
      <c r="SYW1" s="159"/>
      <c r="SYX1" s="159"/>
      <c r="SYY1" s="159"/>
      <c r="SYZ1" s="159"/>
      <c r="SZA1" s="159"/>
      <c r="SZB1" s="159"/>
      <c r="SZC1" s="159"/>
      <c r="SZD1" s="159"/>
      <c r="SZE1" s="159"/>
      <c r="SZF1" s="159"/>
      <c r="SZG1" s="159"/>
      <c r="SZH1" s="159"/>
      <c r="SZI1" s="159"/>
      <c r="SZJ1" s="159"/>
      <c r="SZK1" s="159"/>
      <c r="SZL1" s="159"/>
      <c r="SZM1" s="159"/>
      <c r="SZN1" s="159"/>
      <c r="SZO1" s="159"/>
      <c r="SZP1" s="159"/>
      <c r="SZQ1" s="159"/>
      <c r="SZR1" s="159"/>
      <c r="SZS1" s="159"/>
      <c r="SZT1" s="159"/>
      <c r="SZU1" s="159"/>
      <c r="SZV1" s="159"/>
      <c r="SZW1" s="159"/>
      <c r="SZX1" s="159"/>
      <c r="SZY1" s="159"/>
      <c r="SZZ1" s="159"/>
      <c r="TAA1" s="159"/>
      <c r="TAB1" s="159"/>
      <c r="TAC1" s="159"/>
      <c r="TAD1" s="159"/>
      <c r="TAE1" s="159"/>
      <c r="TAF1" s="159"/>
      <c r="TAG1" s="159"/>
      <c r="TAH1" s="159"/>
      <c r="TAI1" s="159"/>
      <c r="TAJ1" s="159"/>
      <c r="TAK1" s="159"/>
      <c r="TAL1" s="159"/>
      <c r="TAM1" s="159"/>
      <c r="TAN1" s="159"/>
      <c r="TAO1" s="159"/>
      <c r="TAP1" s="159"/>
      <c r="TAQ1" s="159"/>
      <c r="TAR1" s="159"/>
      <c r="TAS1" s="159"/>
      <c r="TAT1" s="159"/>
      <c r="TAU1" s="159"/>
      <c r="TAV1" s="159"/>
      <c r="TAW1" s="159"/>
      <c r="TAX1" s="159"/>
      <c r="TAY1" s="159"/>
      <c r="TAZ1" s="159"/>
      <c r="TBA1" s="159"/>
      <c r="TBB1" s="159"/>
      <c r="TBC1" s="159"/>
      <c r="TBD1" s="159"/>
      <c r="TBE1" s="159"/>
      <c r="TBF1" s="159"/>
      <c r="TBG1" s="159"/>
      <c r="TBH1" s="159"/>
      <c r="TBI1" s="159"/>
      <c r="TBJ1" s="159"/>
      <c r="TBK1" s="159"/>
      <c r="TBL1" s="159"/>
      <c r="TBM1" s="159"/>
      <c r="TBN1" s="159"/>
      <c r="TBO1" s="159"/>
      <c r="TBP1" s="159"/>
      <c r="TBQ1" s="159"/>
      <c r="TBR1" s="159"/>
      <c r="TBS1" s="159"/>
      <c r="TBT1" s="159"/>
      <c r="TBU1" s="159"/>
      <c r="TBV1" s="159"/>
      <c r="TBW1" s="159"/>
      <c r="TBX1" s="159"/>
      <c r="TBY1" s="159"/>
      <c r="TBZ1" s="159"/>
      <c r="TCA1" s="159"/>
      <c r="TCB1" s="159"/>
      <c r="TCC1" s="159"/>
      <c r="TCD1" s="159"/>
      <c r="TCE1" s="159"/>
      <c r="TCF1" s="159"/>
      <c r="TCG1" s="159"/>
      <c r="TCH1" s="159"/>
      <c r="TCI1" s="159"/>
      <c r="TCJ1" s="159"/>
      <c r="TCK1" s="159"/>
      <c r="TCL1" s="159"/>
      <c r="TCM1" s="159"/>
      <c r="TCN1" s="159"/>
      <c r="TCO1" s="159"/>
      <c r="TCP1" s="159"/>
      <c r="TCQ1" s="159"/>
      <c r="TCR1" s="159"/>
      <c r="TCS1" s="159"/>
      <c r="TCT1" s="159"/>
      <c r="TCU1" s="159"/>
      <c r="TCV1" s="159"/>
      <c r="TCW1" s="159"/>
      <c r="TCX1" s="159"/>
      <c r="TCY1" s="159"/>
      <c r="TCZ1" s="159"/>
      <c r="TDA1" s="159"/>
      <c r="TDB1" s="159"/>
      <c r="TDC1" s="159"/>
      <c r="TDD1" s="159"/>
      <c r="TDE1" s="159"/>
      <c r="TDF1" s="159"/>
      <c r="TDG1" s="159"/>
      <c r="TDH1" s="159"/>
      <c r="TDI1" s="159"/>
      <c r="TDJ1" s="159"/>
      <c r="TDK1" s="159"/>
      <c r="TDL1" s="159"/>
      <c r="TDM1" s="159"/>
      <c r="TDN1" s="159"/>
      <c r="TDO1" s="159"/>
      <c r="TDP1" s="159"/>
      <c r="TDQ1" s="159"/>
      <c r="TDR1" s="159"/>
      <c r="TDS1" s="159"/>
      <c r="TDT1" s="159"/>
      <c r="TDU1" s="159"/>
      <c r="TDV1" s="159"/>
      <c r="TDW1" s="159"/>
      <c r="TDX1" s="159"/>
      <c r="TDY1" s="159"/>
      <c r="TDZ1" s="159"/>
      <c r="TEA1" s="159"/>
      <c r="TEB1" s="159"/>
      <c r="TEC1" s="159"/>
      <c r="TED1" s="159"/>
      <c r="TEE1" s="159"/>
      <c r="TEF1" s="159"/>
      <c r="TEG1" s="159"/>
      <c r="TEH1" s="159"/>
      <c r="TEI1" s="159"/>
      <c r="TEJ1" s="159"/>
      <c r="TEK1" s="159"/>
      <c r="TEL1" s="159"/>
      <c r="TEM1" s="159"/>
      <c r="TEN1" s="159"/>
      <c r="TFY1" s="159"/>
      <c r="TGM1" s="159"/>
      <c r="TGN1" s="159"/>
      <c r="TGO1" s="159"/>
      <c r="TGP1" s="159"/>
      <c r="TGQ1" s="159"/>
      <c r="TGR1" s="159"/>
      <c r="TGS1" s="159"/>
      <c r="TGT1" s="159"/>
      <c r="TGU1" s="159"/>
      <c r="TGV1" s="159"/>
      <c r="TGW1" s="159"/>
      <c r="TGX1" s="159"/>
      <c r="TGY1" s="159"/>
      <c r="TGZ1" s="159"/>
      <c r="THA1" s="159"/>
      <c r="THB1" s="159"/>
      <c r="THC1" s="159"/>
      <c r="THD1" s="159"/>
      <c r="THE1" s="159"/>
      <c r="THF1" s="159"/>
      <c r="THG1" s="159"/>
      <c r="THH1" s="159"/>
      <c r="THI1" s="159"/>
      <c r="THJ1" s="159"/>
      <c r="THK1" s="159"/>
      <c r="THL1" s="159"/>
      <c r="THM1" s="159"/>
      <c r="THN1" s="159"/>
      <c r="THO1" s="159"/>
      <c r="THP1" s="159"/>
      <c r="THQ1" s="159"/>
      <c r="THR1" s="159"/>
      <c r="THS1" s="159"/>
      <c r="THT1" s="159"/>
      <c r="THU1" s="159"/>
      <c r="THV1" s="159"/>
      <c r="THW1" s="159"/>
      <c r="THX1" s="159"/>
      <c r="THY1" s="159"/>
      <c r="THZ1" s="159"/>
      <c r="TIA1" s="159"/>
      <c r="TIB1" s="159"/>
      <c r="TIC1" s="159"/>
      <c r="TID1" s="159"/>
      <c r="TIE1" s="159"/>
      <c r="TIF1" s="159"/>
      <c r="TIG1" s="159"/>
      <c r="TIH1" s="159"/>
      <c r="TII1" s="159"/>
      <c r="TIJ1" s="159"/>
      <c r="TIK1" s="159"/>
      <c r="TIL1" s="159"/>
      <c r="TIM1" s="159"/>
      <c r="TIN1" s="159"/>
      <c r="TIO1" s="159"/>
      <c r="TIP1" s="159"/>
      <c r="TIQ1" s="159"/>
      <c r="TIR1" s="159"/>
      <c r="TIS1" s="159"/>
      <c r="TIT1" s="159"/>
      <c r="TIU1" s="159"/>
      <c r="TIV1" s="159"/>
      <c r="TIW1" s="159"/>
      <c r="TIX1" s="159"/>
      <c r="TIY1" s="159"/>
      <c r="TIZ1" s="159"/>
      <c r="TJA1" s="159"/>
      <c r="TJB1" s="159"/>
      <c r="TJC1" s="159"/>
      <c r="TJD1" s="159"/>
      <c r="TJE1" s="159"/>
      <c r="TJF1" s="159"/>
      <c r="TJG1" s="159"/>
      <c r="TJH1" s="159"/>
      <c r="TJI1" s="159"/>
      <c r="TJJ1" s="159"/>
      <c r="TJK1" s="159"/>
      <c r="TJL1" s="159"/>
      <c r="TJM1" s="159"/>
      <c r="TJN1" s="159"/>
      <c r="TJO1" s="159"/>
      <c r="TJP1" s="159"/>
      <c r="TJQ1" s="159"/>
      <c r="TJR1" s="159"/>
      <c r="TJS1" s="159"/>
      <c r="TJT1" s="159"/>
      <c r="TJU1" s="159"/>
      <c r="TJV1" s="159"/>
      <c r="TJW1" s="159"/>
      <c r="TJX1" s="159"/>
      <c r="TJY1" s="159"/>
      <c r="TJZ1" s="159"/>
      <c r="TKA1" s="159"/>
      <c r="TKB1" s="159"/>
      <c r="TKC1" s="159"/>
      <c r="TKD1" s="159"/>
      <c r="TKE1" s="159"/>
      <c r="TKF1" s="159"/>
      <c r="TKG1" s="159"/>
      <c r="TKH1" s="159"/>
      <c r="TKI1" s="159"/>
      <c r="TKJ1" s="159"/>
      <c r="TKK1" s="159"/>
      <c r="TKL1" s="159"/>
      <c r="TKM1" s="159"/>
      <c r="TKN1" s="159"/>
      <c r="TKO1" s="159"/>
      <c r="TKP1" s="159"/>
      <c r="TKQ1" s="159"/>
      <c r="TKR1" s="159"/>
      <c r="TKS1" s="159"/>
      <c r="TKT1" s="159"/>
      <c r="TKU1" s="159"/>
      <c r="TKV1" s="159"/>
      <c r="TKW1" s="159"/>
      <c r="TKX1" s="159"/>
      <c r="TKY1" s="159"/>
      <c r="TKZ1" s="159"/>
      <c r="TLA1" s="159"/>
      <c r="TLB1" s="159"/>
      <c r="TLC1" s="159"/>
      <c r="TLD1" s="159"/>
      <c r="TLE1" s="159"/>
      <c r="TLF1" s="159"/>
      <c r="TLG1" s="159"/>
      <c r="TLH1" s="159"/>
      <c r="TLI1" s="159"/>
      <c r="TLJ1" s="159"/>
      <c r="TLK1" s="159"/>
      <c r="TLL1" s="159"/>
      <c r="TLM1" s="159"/>
      <c r="TLN1" s="159"/>
      <c r="TLO1" s="159"/>
      <c r="TLP1" s="159"/>
      <c r="TLQ1" s="159"/>
      <c r="TLR1" s="159"/>
      <c r="TLS1" s="159"/>
      <c r="TLT1" s="159"/>
      <c r="TLU1" s="159"/>
      <c r="TLV1" s="159"/>
      <c r="TLW1" s="159"/>
      <c r="TLX1" s="159"/>
      <c r="TLY1" s="159"/>
      <c r="TLZ1" s="159"/>
      <c r="TMA1" s="159"/>
      <c r="TMB1" s="159"/>
      <c r="TMC1" s="159"/>
      <c r="TMD1" s="159"/>
      <c r="TME1" s="159"/>
      <c r="TMF1" s="159"/>
      <c r="TMG1" s="159"/>
      <c r="TMH1" s="159"/>
      <c r="TMI1" s="159"/>
      <c r="TMJ1" s="159"/>
      <c r="TMK1" s="159"/>
      <c r="TML1" s="159"/>
      <c r="TMM1" s="159"/>
      <c r="TMN1" s="159"/>
      <c r="TMO1" s="159"/>
      <c r="TMP1" s="159"/>
      <c r="TMQ1" s="159"/>
      <c r="TMR1" s="159"/>
      <c r="TMS1" s="159"/>
      <c r="TMT1" s="159"/>
      <c r="TMU1" s="159"/>
      <c r="TMV1" s="159"/>
      <c r="TMW1" s="159"/>
      <c r="TMX1" s="159"/>
      <c r="TMY1" s="159"/>
      <c r="TMZ1" s="159"/>
      <c r="TNA1" s="159"/>
      <c r="TNB1" s="159"/>
      <c r="TNC1" s="159"/>
      <c r="TND1" s="159"/>
      <c r="TNE1" s="159"/>
      <c r="TNF1" s="159"/>
      <c r="TNG1" s="159"/>
      <c r="TNH1" s="159"/>
      <c r="TNI1" s="159"/>
      <c r="TNJ1" s="159"/>
      <c r="TNK1" s="159"/>
      <c r="TNL1" s="159"/>
      <c r="TNM1" s="159"/>
      <c r="TNN1" s="159"/>
      <c r="TNO1" s="159"/>
      <c r="TNP1" s="159"/>
      <c r="TNQ1" s="159"/>
      <c r="TNR1" s="159"/>
      <c r="TNS1" s="159"/>
      <c r="TNT1" s="159"/>
      <c r="TNU1" s="159"/>
      <c r="TNV1" s="159"/>
      <c r="TNW1" s="159"/>
      <c r="TNX1" s="159"/>
      <c r="TNY1" s="159"/>
      <c r="TNZ1" s="159"/>
      <c r="TOA1" s="159"/>
      <c r="TOB1" s="159"/>
      <c r="TOC1" s="159"/>
      <c r="TOD1" s="159"/>
      <c r="TOE1" s="159"/>
      <c r="TOF1" s="159"/>
      <c r="TOG1" s="159"/>
      <c r="TOH1" s="159"/>
      <c r="TOI1" s="159"/>
      <c r="TOJ1" s="159"/>
      <c r="TPU1" s="159"/>
      <c r="TQI1" s="159"/>
      <c r="TQJ1" s="159"/>
      <c r="TQK1" s="159"/>
      <c r="TQL1" s="159"/>
      <c r="TQM1" s="159"/>
      <c r="TQN1" s="159"/>
      <c r="TQO1" s="159"/>
      <c r="TQP1" s="159"/>
      <c r="TQQ1" s="159"/>
      <c r="TQR1" s="159"/>
      <c r="TQS1" s="159"/>
      <c r="TQT1" s="159"/>
      <c r="TQU1" s="159"/>
      <c r="TQV1" s="159"/>
      <c r="TQW1" s="159"/>
      <c r="TQX1" s="159"/>
      <c r="TQY1" s="159"/>
      <c r="TQZ1" s="159"/>
      <c r="TRA1" s="159"/>
      <c r="TRB1" s="159"/>
      <c r="TRC1" s="159"/>
      <c r="TRD1" s="159"/>
      <c r="TRE1" s="159"/>
      <c r="TRF1" s="159"/>
      <c r="TRG1" s="159"/>
      <c r="TRH1" s="159"/>
      <c r="TRI1" s="159"/>
      <c r="TRJ1" s="159"/>
      <c r="TRK1" s="159"/>
      <c r="TRL1" s="159"/>
      <c r="TRM1" s="159"/>
      <c r="TRN1" s="159"/>
      <c r="TRO1" s="159"/>
      <c r="TRP1" s="159"/>
      <c r="TRQ1" s="159"/>
      <c r="TRR1" s="159"/>
      <c r="TRS1" s="159"/>
      <c r="TRT1" s="159"/>
      <c r="TRU1" s="159"/>
      <c r="TRV1" s="159"/>
      <c r="TRW1" s="159"/>
      <c r="TRX1" s="159"/>
      <c r="TRY1" s="159"/>
      <c r="TRZ1" s="159"/>
      <c r="TSA1" s="159"/>
      <c r="TSB1" s="159"/>
      <c r="TSC1" s="159"/>
      <c r="TSD1" s="159"/>
      <c r="TSE1" s="159"/>
      <c r="TSF1" s="159"/>
      <c r="TSG1" s="159"/>
      <c r="TSH1" s="159"/>
      <c r="TSI1" s="159"/>
      <c r="TSJ1" s="159"/>
      <c r="TSK1" s="159"/>
      <c r="TSL1" s="159"/>
      <c r="TSM1" s="159"/>
      <c r="TSN1" s="159"/>
      <c r="TSO1" s="159"/>
      <c r="TSP1" s="159"/>
      <c r="TSQ1" s="159"/>
      <c r="TSR1" s="159"/>
      <c r="TSS1" s="159"/>
      <c r="TST1" s="159"/>
      <c r="TSU1" s="159"/>
      <c r="TSV1" s="159"/>
      <c r="TSW1" s="159"/>
      <c r="TSX1" s="159"/>
      <c r="TSY1" s="159"/>
      <c r="TSZ1" s="159"/>
      <c r="TTA1" s="159"/>
      <c r="TTB1" s="159"/>
      <c r="TTC1" s="159"/>
      <c r="TTD1" s="159"/>
      <c r="TTE1" s="159"/>
      <c r="TTF1" s="159"/>
      <c r="TTG1" s="159"/>
      <c r="TTH1" s="159"/>
      <c r="TTI1" s="159"/>
      <c r="TTJ1" s="159"/>
      <c r="TTK1" s="159"/>
      <c r="TTL1" s="159"/>
      <c r="TTM1" s="159"/>
      <c r="TTN1" s="159"/>
      <c r="TTO1" s="159"/>
      <c r="TTP1" s="159"/>
      <c r="TTQ1" s="159"/>
      <c r="TTR1" s="159"/>
      <c r="TTS1" s="159"/>
      <c r="TTT1" s="159"/>
      <c r="TTU1" s="159"/>
      <c r="TTV1" s="159"/>
      <c r="TTW1" s="159"/>
      <c r="TTX1" s="159"/>
      <c r="TTY1" s="159"/>
      <c r="TTZ1" s="159"/>
      <c r="TUA1" s="159"/>
      <c r="TUB1" s="159"/>
      <c r="TUC1" s="159"/>
      <c r="TUD1" s="159"/>
      <c r="TUE1" s="159"/>
      <c r="TUF1" s="159"/>
      <c r="TUG1" s="159"/>
      <c r="TUH1" s="159"/>
      <c r="TUI1" s="159"/>
      <c r="TUJ1" s="159"/>
      <c r="TUK1" s="159"/>
      <c r="TUL1" s="159"/>
      <c r="TUM1" s="159"/>
      <c r="TUN1" s="159"/>
      <c r="TUO1" s="159"/>
      <c r="TUP1" s="159"/>
      <c r="TUQ1" s="159"/>
      <c r="TUR1" s="159"/>
      <c r="TUS1" s="159"/>
      <c r="TUT1" s="159"/>
      <c r="TUU1" s="159"/>
      <c r="TUV1" s="159"/>
      <c r="TUW1" s="159"/>
      <c r="TUX1" s="159"/>
      <c r="TUY1" s="159"/>
      <c r="TUZ1" s="159"/>
      <c r="TVA1" s="159"/>
      <c r="TVB1" s="159"/>
      <c r="TVC1" s="159"/>
      <c r="TVD1" s="159"/>
      <c r="TVE1" s="159"/>
      <c r="TVF1" s="159"/>
      <c r="TVG1" s="159"/>
      <c r="TVH1" s="159"/>
      <c r="TVI1" s="159"/>
      <c r="TVJ1" s="159"/>
      <c r="TVK1" s="159"/>
      <c r="TVL1" s="159"/>
      <c r="TVM1" s="159"/>
      <c r="TVN1" s="159"/>
      <c r="TVO1" s="159"/>
      <c r="TVP1" s="159"/>
      <c r="TVQ1" s="159"/>
      <c r="TVR1" s="159"/>
      <c r="TVS1" s="159"/>
      <c r="TVT1" s="159"/>
      <c r="TVU1" s="159"/>
      <c r="TVV1" s="159"/>
      <c r="TVW1" s="159"/>
      <c r="TVX1" s="159"/>
      <c r="TVY1" s="159"/>
      <c r="TVZ1" s="159"/>
      <c r="TWA1" s="159"/>
      <c r="TWB1" s="159"/>
      <c r="TWC1" s="159"/>
      <c r="TWD1" s="159"/>
      <c r="TWE1" s="159"/>
      <c r="TWF1" s="159"/>
      <c r="TWG1" s="159"/>
      <c r="TWH1" s="159"/>
      <c r="TWI1" s="159"/>
      <c r="TWJ1" s="159"/>
      <c r="TWK1" s="159"/>
      <c r="TWL1" s="159"/>
      <c r="TWM1" s="159"/>
      <c r="TWN1" s="159"/>
      <c r="TWO1" s="159"/>
      <c r="TWP1" s="159"/>
      <c r="TWQ1" s="159"/>
      <c r="TWR1" s="159"/>
      <c r="TWS1" s="159"/>
      <c r="TWT1" s="159"/>
      <c r="TWU1" s="159"/>
      <c r="TWV1" s="159"/>
      <c r="TWW1" s="159"/>
      <c r="TWX1" s="159"/>
      <c r="TWY1" s="159"/>
      <c r="TWZ1" s="159"/>
      <c r="TXA1" s="159"/>
      <c r="TXB1" s="159"/>
      <c r="TXC1" s="159"/>
      <c r="TXD1" s="159"/>
      <c r="TXE1" s="159"/>
      <c r="TXF1" s="159"/>
      <c r="TXG1" s="159"/>
      <c r="TXH1" s="159"/>
      <c r="TXI1" s="159"/>
      <c r="TXJ1" s="159"/>
      <c r="TXK1" s="159"/>
      <c r="TXL1" s="159"/>
      <c r="TXM1" s="159"/>
      <c r="TXN1" s="159"/>
      <c r="TXO1" s="159"/>
      <c r="TXP1" s="159"/>
      <c r="TXQ1" s="159"/>
      <c r="TXR1" s="159"/>
      <c r="TXS1" s="159"/>
      <c r="TXT1" s="159"/>
      <c r="TXU1" s="159"/>
      <c r="TXV1" s="159"/>
      <c r="TXW1" s="159"/>
      <c r="TXX1" s="159"/>
      <c r="TXY1" s="159"/>
      <c r="TXZ1" s="159"/>
      <c r="TYA1" s="159"/>
      <c r="TYB1" s="159"/>
      <c r="TYC1" s="159"/>
      <c r="TYD1" s="159"/>
      <c r="TYE1" s="159"/>
      <c r="TYF1" s="159"/>
      <c r="TZQ1" s="159"/>
      <c r="UAE1" s="159"/>
      <c r="UAF1" s="159"/>
      <c r="UAG1" s="159"/>
      <c r="UAH1" s="159"/>
      <c r="UAI1" s="159"/>
      <c r="UAJ1" s="159"/>
      <c r="UAK1" s="159"/>
      <c r="UAL1" s="159"/>
      <c r="UAM1" s="159"/>
      <c r="UAN1" s="159"/>
      <c r="UAO1" s="159"/>
      <c r="UAP1" s="159"/>
      <c r="UAQ1" s="159"/>
      <c r="UAR1" s="159"/>
      <c r="UAS1" s="159"/>
      <c r="UAT1" s="159"/>
      <c r="UAU1" s="159"/>
      <c r="UAV1" s="159"/>
      <c r="UAW1" s="159"/>
      <c r="UAX1" s="159"/>
      <c r="UAY1" s="159"/>
      <c r="UAZ1" s="159"/>
      <c r="UBA1" s="159"/>
      <c r="UBB1" s="159"/>
      <c r="UBC1" s="159"/>
      <c r="UBD1" s="159"/>
      <c r="UBE1" s="159"/>
      <c r="UBF1" s="159"/>
      <c r="UBG1" s="159"/>
      <c r="UBH1" s="159"/>
      <c r="UBI1" s="159"/>
      <c r="UBJ1" s="159"/>
      <c r="UBK1" s="159"/>
      <c r="UBL1" s="159"/>
      <c r="UBM1" s="159"/>
      <c r="UBN1" s="159"/>
      <c r="UBO1" s="159"/>
      <c r="UBP1" s="159"/>
      <c r="UBQ1" s="159"/>
      <c r="UBR1" s="159"/>
      <c r="UBS1" s="159"/>
      <c r="UBT1" s="159"/>
      <c r="UBU1" s="159"/>
      <c r="UBV1" s="159"/>
      <c r="UBW1" s="159"/>
      <c r="UBX1" s="159"/>
      <c r="UBY1" s="159"/>
      <c r="UBZ1" s="159"/>
      <c r="UCA1" s="159"/>
      <c r="UCB1" s="159"/>
      <c r="UCC1" s="159"/>
      <c r="UCD1" s="159"/>
      <c r="UCE1" s="159"/>
      <c r="UCF1" s="159"/>
      <c r="UCG1" s="159"/>
      <c r="UCH1" s="159"/>
      <c r="UCI1" s="159"/>
      <c r="UCJ1" s="159"/>
      <c r="UCK1" s="159"/>
      <c r="UCL1" s="159"/>
      <c r="UCM1" s="159"/>
      <c r="UCN1" s="159"/>
      <c r="UCO1" s="159"/>
      <c r="UCP1" s="159"/>
      <c r="UCQ1" s="159"/>
      <c r="UCR1" s="159"/>
      <c r="UCS1" s="159"/>
      <c r="UCT1" s="159"/>
      <c r="UCU1" s="159"/>
      <c r="UCV1" s="159"/>
      <c r="UCW1" s="159"/>
      <c r="UCX1" s="159"/>
      <c r="UCY1" s="159"/>
      <c r="UCZ1" s="159"/>
      <c r="UDA1" s="159"/>
      <c r="UDB1" s="159"/>
      <c r="UDC1" s="159"/>
      <c r="UDD1" s="159"/>
      <c r="UDE1" s="159"/>
      <c r="UDF1" s="159"/>
      <c r="UDG1" s="159"/>
      <c r="UDH1" s="159"/>
      <c r="UDI1" s="159"/>
      <c r="UDJ1" s="159"/>
      <c r="UDK1" s="159"/>
      <c r="UDL1" s="159"/>
      <c r="UDM1" s="159"/>
      <c r="UDN1" s="159"/>
      <c r="UDO1" s="159"/>
      <c r="UDP1" s="159"/>
      <c r="UDQ1" s="159"/>
      <c r="UDR1" s="159"/>
      <c r="UDS1" s="159"/>
      <c r="UDT1" s="159"/>
      <c r="UDU1" s="159"/>
      <c r="UDV1" s="159"/>
      <c r="UDW1" s="159"/>
      <c r="UDX1" s="159"/>
      <c r="UDY1" s="159"/>
      <c r="UDZ1" s="159"/>
      <c r="UEA1" s="159"/>
      <c r="UEB1" s="159"/>
      <c r="UEC1" s="159"/>
      <c r="UED1" s="159"/>
      <c r="UEE1" s="159"/>
      <c r="UEF1" s="159"/>
      <c r="UEG1" s="159"/>
      <c r="UEH1" s="159"/>
      <c r="UEI1" s="159"/>
      <c r="UEJ1" s="159"/>
      <c r="UEK1" s="159"/>
      <c r="UEL1" s="159"/>
      <c r="UEM1" s="159"/>
      <c r="UEN1" s="159"/>
      <c r="UEO1" s="159"/>
      <c r="UEP1" s="159"/>
      <c r="UEQ1" s="159"/>
      <c r="UER1" s="159"/>
      <c r="UES1" s="159"/>
      <c r="UET1" s="159"/>
      <c r="UEU1" s="159"/>
      <c r="UEV1" s="159"/>
      <c r="UEW1" s="159"/>
      <c r="UEX1" s="159"/>
      <c r="UEY1" s="159"/>
      <c r="UEZ1" s="159"/>
      <c r="UFA1" s="159"/>
      <c r="UFB1" s="159"/>
      <c r="UFC1" s="159"/>
      <c r="UFD1" s="159"/>
      <c r="UFE1" s="159"/>
      <c r="UFF1" s="159"/>
      <c r="UFG1" s="159"/>
      <c r="UFH1" s="159"/>
      <c r="UFI1" s="159"/>
      <c r="UFJ1" s="159"/>
      <c r="UFK1" s="159"/>
      <c r="UFL1" s="159"/>
      <c r="UFM1" s="159"/>
      <c r="UFN1" s="159"/>
      <c r="UFO1" s="159"/>
      <c r="UFP1" s="159"/>
      <c r="UFQ1" s="159"/>
      <c r="UFR1" s="159"/>
      <c r="UFS1" s="159"/>
      <c r="UFT1" s="159"/>
      <c r="UFU1" s="159"/>
      <c r="UFV1" s="159"/>
      <c r="UFW1" s="159"/>
      <c r="UFX1" s="159"/>
      <c r="UFY1" s="159"/>
      <c r="UFZ1" s="159"/>
      <c r="UGA1" s="159"/>
      <c r="UGB1" s="159"/>
      <c r="UGC1" s="159"/>
      <c r="UGD1" s="159"/>
      <c r="UGE1" s="159"/>
      <c r="UGF1" s="159"/>
      <c r="UGG1" s="159"/>
      <c r="UGH1" s="159"/>
      <c r="UGI1" s="159"/>
      <c r="UGJ1" s="159"/>
      <c r="UGK1" s="159"/>
      <c r="UGL1" s="159"/>
      <c r="UGM1" s="159"/>
      <c r="UGN1" s="159"/>
      <c r="UGO1" s="159"/>
      <c r="UGP1" s="159"/>
      <c r="UGQ1" s="159"/>
      <c r="UGR1" s="159"/>
      <c r="UGS1" s="159"/>
      <c r="UGT1" s="159"/>
      <c r="UGU1" s="159"/>
      <c r="UGV1" s="159"/>
      <c r="UGW1" s="159"/>
      <c r="UGX1" s="159"/>
      <c r="UGY1" s="159"/>
      <c r="UGZ1" s="159"/>
      <c r="UHA1" s="159"/>
      <c r="UHB1" s="159"/>
      <c r="UHC1" s="159"/>
      <c r="UHD1" s="159"/>
      <c r="UHE1" s="159"/>
      <c r="UHF1" s="159"/>
      <c r="UHG1" s="159"/>
      <c r="UHH1" s="159"/>
      <c r="UHI1" s="159"/>
      <c r="UHJ1" s="159"/>
      <c r="UHK1" s="159"/>
      <c r="UHL1" s="159"/>
      <c r="UHM1" s="159"/>
      <c r="UHN1" s="159"/>
      <c r="UHO1" s="159"/>
      <c r="UHP1" s="159"/>
      <c r="UHQ1" s="159"/>
      <c r="UHR1" s="159"/>
      <c r="UHS1" s="159"/>
      <c r="UHT1" s="159"/>
      <c r="UHU1" s="159"/>
      <c r="UHV1" s="159"/>
      <c r="UHW1" s="159"/>
      <c r="UHX1" s="159"/>
      <c r="UHY1" s="159"/>
      <c r="UHZ1" s="159"/>
      <c r="UIA1" s="159"/>
      <c r="UIB1" s="159"/>
      <c r="UJM1" s="159"/>
      <c r="UKA1" s="159"/>
      <c r="UKB1" s="159"/>
      <c r="UKC1" s="159"/>
      <c r="UKD1" s="159"/>
      <c r="UKE1" s="159"/>
      <c r="UKF1" s="159"/>
      <c r="UKG1" s="159"/>
      <c r="UKH1" s="159"/>
      <c r="UKI1" s="159"/>
      <c r="UKJ1" s="159"/>
      <c r="UKK1" s="159"/>
      <c r="UKL1" s="159"/>
      <c r="UKM1" s="159"/>
      <c r="UKN1" s="159"/>
      <c r="UKO1" s="159"/>
      <c r="UKP1" s="159"/>
      <c r="UKQ1" s="159"/>
      <c r="UKR1" s="159"/>
      <c r="UKS1" s="159"/>
      <c r="UKT1" s="159"/>
      <c r="UKU1" s="159"/>
      <c r="UKV1" s="159"/>
      <c r="UKW1" s="159"/>
      <c r="UKX1" s="159"/>
      <c r="UKY1" s="159"/>
      <c r="UKZ1" s="159"/>
      <c r="ULA1" s="159"/>
      <c r="ULB1" s="159"/>
      <c r="ULC1" s="159"/>
      <c r="ULD1" s="159"/>
      <c r="ULE1" s="159"/>
      <c r="ULF1" s="159"/>
      <c r="ULG1" s="159"/>
      <c r="ULH1" s="159"/>
      <c r="ULI1" s="159"/>
      <c r="ULJ1" s="159"/>
      <c r="ULK1" s="159"/>
      <c r="ULL1" s="159"/>
      <c r="ULM1" s="159"/>
      <c r="ULN1" s="159"/>
      <c r="ULO1" s="159"/>
      <c r="ULP1" s="159"/>
      <c r="ULQ1" s="159"/>
      <c r="ULR1" s="159"/>
      <c r="ULS1" s="159"/>
      <c r="ULT1" s="159"/>
      <c r="ULU1" s="159"/>
      <c r="ULV1" s="159"/>
      <c r="ULW1" s="159"/>
      <c r="ULX1" s="159"/>
      <c r="ULY1" s="159"/>
      <c r="ULZ1" s="159"/>
      <c r="UMA1" s="159"/>
      <c r="UMB1" s="159"/>
      <c r="UMC1" s="159"/>
      <c r="UMD1" s="159"/>
      <c r="UME1" s="159"/>
      <c r="UMF1" s="159"/>
      <c r="UMG1" s="159"/>
      <c r="UMH1" s="159"/>
      <c r="UMI1" s="159"/>
      <c r="UMJ1" s="159"/>
      <c r="UMK1" s="159"/>
      <c r="UML1" s="159"/>
      <c r="UMM1" s="159"/>
      <c r="UMN1" s="159"/>
      <c r="UMO1" s="159"/>
      <c r="UMP1" s="159"/>
      <c r="UMQ1" s="159"/>
      <c r="UMR1" s="159"/>
      <c r="UMS1" s="159"/>
      <c r="UMT1" s="159"/>
      <c r="UMU1" s="159"/>
      <c r="UMV1" s="159"/>
      <c r="UMW1" s="159"/>
      <c r="UMX1" s="159"/>
      <c r="UMY1" s="159"/>
      <c r="UMZ1" s="159"/>
      <c r="UNA1" s="159"/>
      <c r="UNB1" s="159"/>
      <c r="UNC1" s="159"/>
      <c r="UND1" s="159"/>
      <c r="UNE1" s="159"/>
      <c r="UNF1" s="159"/>
      <c r="UNG1" s="159"/>
      <c r="UNH1" s="159"/>
      <c r="UNI1" s="159"/>
      <c r="UNJ1" s="159"/>
      <c r="UNK1" s="159"/>
      <c r="UNL1" s="159"/>
      <c r="UNM1" s="159"/>
      <c r="UNN1" s="159"/>
      <c r="UNO1" s="159"/>
      <c r="UNP1" s="159"/>
      <c r="UNQ1" s="159"/>
      <c r="UNR1" s="159"/>
      <c r="UNS1" s="159"/>
      <c r="UNT1" s="159"/>
      <c r="UNU1" s="159"/>
      <c r="UNV1" s="159"/>
      <c r="UNW1" s="159"/>
      <c r="UNX1" s="159"/>
      <c r="UNY1" s="159"/>
      <c r="UNZ1" s="159"/>
      <c r="UOA1" s="159"/>
      <c r="UOB1" s="159"/>
      <c r="UOC1" s="159"/>
      <c r="UOD1" s="159"/>
      <c r="UOE1" s="159"/>
      <c r="UOF1" s="159"/>
      <c r="UOG1" s="159"/>
      <c r="UOH1" s="159"/>
      <c r="UOI1" s="159"/>
      <c r="UOJ1" s="159"/>
      <c r="UOK1" s="159"/>
      <c r="UOL1" s="159"/>
      <c r="UOM1" s="159"/>
      <c r="UON1" s="159"/>
      <c r="UOO1" s="159"/>
      <c r="UOP1" s="159"/>
      <c r="UOQ1" s="159"/>
      <c r="UOR1" s="159"/>
      <c r="UOS1" s="159"/>
      <c r="UOT1" s="159"/>
      <c r="UOU1" s="159"/>
      <c r="UOV1" s="159"/>
      <c r="UOW1" s="159"/>
      <c r="UOX1" s="159"/>
      <c r="UOY1" s="159"/>
      <c r="UOZ1" s="159"/>
      <c r="UPA1" s="159"/>
      <c r="UPB1" s="159"/>
      <c r="UPC1" s="159"/>
      <c r="UPD1" s="159"/>
      <c r="UPE1" s="159"/>
      <c r="UPF1" s="159"/>
      <c r="UPG1" s="159"/>
      <c r="UPH1" s="159"/>
      <c r="UPI1" s="159"/>
      <c r="UPJ1" s="159"/>
      <c r="UPK1" s="159"/>
      <c r="UPL1" s="159"/>
      <c r="UPM1" s="159"/>
      <c r="UPN1" s="159"/>
      <c r="UPO1" s="159"/>
      <c r="UPP1" s="159"/>
      <c r="UPQ1" s="159"/>
      <c r="UPR1" s="159"/>
      <c r="UPS1" s="159"/>
      <c r="UPT1" s="159"/>
      <c r="UPU1" s="159"/>
      <c r="UPV1" s="159"/>
      <c r="UPW1" s="159"/>
      <c r="UPX1" s="159"/>
      <c r="UPY1" s="159"/>
      <c r="UPZ1" s="159"/>
      <c r="UQA1" s="159"/>
      <c r="UQB1" s="159"/>
      <c r="UQC1" s="159"/>
      <c r="UQD1" s="159"/>
      <c r="UQE1" s="159"/>
      <c r="UQF1" s="159"/>
      <c r="UQG1" s="159"/>
      <c r="UQH1" s="159"/>
      <c r="UQI1" s="159"/>
      <c r="UQJ1" s="159"/>
      <c r="UQK1" s="159"/>
      <c r="UQL1" s="159"/>
      <c r="UQM1" s="159"/>
      <c r="UQN1" s="159"/>
      <c r="UQO1" s="159"/>
      <c r="UQP1" s="159"/>
      <c r="UQQ1" s="159"/>
      <c r="UQR1" s="159"/>
      <c r="UQS1" s="159"/>
      <c r="UQT1" s="159"/>
      <c r="UQU1" s="159"/>
      <c r="UQV1" s="159"/>
      <c r="UQW1" s="159"/>
      <c r="UQX1" s="159"/>
      <c r="UQY1" s="159"/>
      <c r="UQZ1" s="159"/>
      <c r="URA1" s="159"/>
      <c r="URB1" s="159"/>
      <c r="URC1" s="159"/>
      <c r="URD1" s="159"/>
      <c r="URE1" s="159"/>
      <c r="URF1" s="159"/>
      <c r="URG1" s="159"/>
      <c r="URH1" s="159"/>
      <c r="URI1" s="159"/>
      <c r="URJ1" s="159"/>
      <c r="URK1" s="159"/>
      <c r="URL1" s="159"/>
      <c r="URM1" s="159"/>
      <c r="URN1" s="159"/>
      <c r="URO1" s="159"/>
      <c r="URP1" s="159"/>
      <c r="URQ1" s="159"/>
      <c r="URR1" s="159"/>
      <c r="URS1" s="159"/>
      <c r="URT1" s="159"/>
      <c r="URU1" s="159"/>
      <c r="URV1" s="159"/>
      <c r="URW1" s="159"/>
      <c r="URX1" s="159"/>
      <c r="UTI1" s="159"/>
      <c r="UTW1" s="159"/>
      <c r="UTX1" s="159"/>
      <c r="UTY1" s="159"/>
      <c r="UTZ1" s="159"/>
      <c r="UUA1" s="159"/>
      <c r="UUB1" s="159"/>
      <c r="UUC1" s="159"/>
      <c r="UUD1" s="159"/>
      <c r="UUE1" s="159"/>
      <c r="UUF1" s="159"/>
      <c r="UUG1" s="159"/>
      <c r="UUH1" s="159"/>
      <c r="UUI1" s="159"/>
      <c r="UUJ1" s="159"/>
      <c r="UUK1" s="159"/>
      <c r="UUL1" s="159"/>
      <c r="UUM1" s="159"/>
      <c r="UUN1" s="159"/>
      <c r="UUO1" s="159"/>
      <c r="UUP1" s="159"/>
      <c r="UUQ1" s="159"/>
      <c r="UUR1" s="159"/>
      <c r="UUS1" s="159"/>
      <c r="UUT1" s="159"/>
      <c r="UUU1" s="159"/>
      <c r="UUV1" s="159"/>
      <c r="UUW1" s="159"/>
      <c r="UUX1" s="159"/>
      <c r="UUY1" s="159"/>
      <c r="UUZ1" s="159"/>
      <c r="UVA1" s="159"/>
      <c r="UVB1" s="159"/>
      <c r="UVC1" s="159"/>
      <c r="UVD1" s="159"/>
      <c r="UVE1" s="159"/>
      <c r="UVF1" s="159"/>
      <c r="UVG1" s="159"/>
      <c r="UVH1" s="159"/>
      <c r="UVI1" s="159"/>
      <c r="UVJ1" s="159"/>
      <c r="UVK1" s="159"/>
      <c r="UVL1" s="159"/>
      <c r="UVM1" s="159"/>
      <c r="UVN1" s="159"/>
      <c r="UVO1" s="159"/>
      <c r="UVP1" s="159"/>
      <c r="UVQ1" s="159"/>
      <c r="UVR1" s="159"/>
      <c r="UVS1" s="159"/>
      <c r="UVT1" s="159"/>
      <c r="UVU1" s="159"/>
      <c r="UVV1" s="159"/>
      <c r="UVW1" s="159"/>
      <c r="UVX1" s="159"/>
      <c r="UVY1" s="159"/>
      <c r="UVZ1" s="159"/>
      <c r="UWA1" s="159"/>
      <c r="UWB1" s="159"/>
      <c r="UWC1" s="159"/>
      <c r="UWD1" s="159"/>
      <c r="UWE1" s="159"/>
      <c r="UWF1" s="159"/>
      <c r="UWG1" s="159"/>
      <c r="UWH1" s="159"/>
      <c r="UWI1" s="159"/>
      <c r="UWJ1" s="159"/>
      <c r="UWK1" s="159"/>
      <c r="UWL1" s="159"/>
      <c r="UWM1" s="159"/>
      <c r="UWN1" s="159"/>
      <c r="UWO1" s="159"/>
      <c r="UWP1" s="159"/>
      <c r="UWQ1" s="159"/>
      <c r="UWR1" s="159"/>
      <c r="UWS1" s="159"/>
      <c r="UWT1" s="159"/>
      <c r="UWU1" s="159"/>
      <c r="UWV1" s="159"/>
      <c r="UWW1" s="159"/>
      <c r="UWX1" s="159"/>
      <c r="UWY1" s="159"/>
      <c r="UWZ1" s="159"/>
      <c r="UXA1" s="159"/>
      <c r="UXB1" s="159"/>
      <c r="UXC1" s="159"/>
      <c r="UXD1" s="159"/>
      <c r="UXE1" s="159"/>
      <c r="UXF1" s="159"/>
      <c r="UXG1" s="159"/>
      <c r="UXH1" s="159"/>
      <c r="UXI1" s="159"/>
      <c r="UXJ1" s="159"/>
      <c r="UXK1" s="159"/>
      <c r="UXL1" s="159"/>
      <c r="UXM1" s="159"/>
      <c r="UXN1" s="159"/>
      <c r="UXO1" s="159"/>
      <c r="UXP1" s="159"/>
      <c r="UXQ1" s="159"/>
      <c r="UXR1" s="159"/>
      <c r="UXS1" s="159"/>
      <c r="UXT1" s="159"/>
      <c r="UXU1" s="159"/>
      <c r="UXV1" s="159"/>
      <c r="UXW1" s="159"/>
      <c r="UXX1" s="159"/>
      <c r="UXY1" s="159"/>
      <c r="UXZ1" s="159"/>
      <c r="UYA1" s="159"/>
      <c r="UYB1" s="159"/>
      <c r="UYC1" s="159"/>
      <c r="UYD1" s="159"/>
      <c r="UYE1" s="159"/>
      <c r="UYF1" s="159"/>
      <c r="UYG1" s="159"/>
      <c r="UYH1" s="159"/>
      <c r="UYI1" s="159"/>
      <c r="UYJ1" s="159"/>
      <c r="UYK1" s="159"/>
      <c r="UYL1" s="159"/>
      <c r="UYM1" s="159"/>
      <c r="UYN1" s="159"/>
      <c r="UYO1" s="159"/>
      <c r="UYP1" s="159"/>
      <c r="UYQ1" s="159"/>
      <c r="UYR1" s="159"/>
      <c r="UYS1" s="159"/>
      <c r="UYT1" s="159"/>
      <c r="UYU1" s="159"/>
      <c r="UYV1" s="159"/>
      <c r="UYW1" s="159"/>
      <c r="UYX1" s="159"/>
      <c r="UYY1" s="159"/>
      <c r="UYZ1" s="159"/>
      <c r="UZA1" s="159"/>
      <c r="UZB1" s="159"/>
      <c r="UZC1" s="159"/>
      <c r="UZD1" s="159"/>
      <c r="UZE1" s="159"/>
      <c r="UZF1" s="159"/>
      <c r="UZG1" s="159"/>
      <c r="UZH1" s="159"/>
      <c r="UZI1" s="159"/>
      <c r="UZJ1" s="159"/>
      <c r="UZK1" s="159"/>
      <c r="UZL1" s="159"/>
      <c r="UZM1" s="159"/>
      <c r="UZN1" s="159"/>
      <c r="UZO1" s="159"/>
      <c r="UZP1" s="159"/>
      <c r="UZQ1" s="159"/>
      <c r="UZR1" s="159"/>
      <c r="UZS1" s="159"/>
      <c r="UZT1" s="159"/>
      <c r="UZU1" s="159"/>
      <c r="UZV1" s="159"/>
      <c r="UZW1" s="159"/>
      <c r="UZX1" s="159"/>
      <c r="UZY1" s="159"/>
      <c r="UZZ1" s="159"/>
      <c r="VAA1" s="159"/>
      <c r="VAB1" s="159"/>
      <c r="VAC1" s="159"/>
      <c r="VAD1" s="159"/>
      <c r="VAE1" s="159"/>
      <c r="VAF1" s="159"/>
      <c r="VAG1" s="159"/>
      <c r="VAH1" s="159"/>
      <c r="VAI1" s="159"/>
      <c r="VAJ1" s="159"/>
      <c r="VAK1" s="159"/>
      <c r="VAL1" s="159"/>
      <c r="VAM1" s="159"/>
      <c r="VAN1" s="159"/>
      <c r="VAO1" s="159"/>
      <c r="VAP1" s="159"/>
      <c r="VAQ1" s="159"/>
      <c r="VAR1" s="159"/>
      <c r="VAS1" s="159"/>
      <c r="VAT1" s="159"/>
      <c r="VAU1" s="159"/>
      <c r="VAV1" s="159"/>
      <c r="VAW1" s="159"/>
      <c r="VAX1" s="159"/>
      <c r="VAY1" s="159"/>
      <c r="VAZ1" s="159"/>
      <c r="VBA1" s="159"/>
      <c r="VBB1" s="159"/>
      <c r="VBC1" s="159"/>
      <c r="VBD1" s="159"/>
      <c r="VBE1" s="159"/>
      <c r="VBF1" s="159"/>
      <c r="VBG1" s="159"/>
      <c r="VBH1" s="159"/>
      <c r="VBI1" s="159"/>
      <c r="VBJ1" s="159"/>
      <c r="VBK1" s="159"/>
      <c r="VBL1" s="159"/>
      <c r="VBM1" s="159"/>
      <c r="VBN1" s="159"/>
      <c r="VBO1" s="159"/>
      <c r="VBP1" s="159"/>
      <c r="VBQ1" s="159"/>
      <c r="VBR1" s="159"/>
      <c r="VBS1" s="159"/>
      <c r="VBT1" s="159"/>
      <c r="VDE1" s="159"/>
      <c r="VDS1" s="159"/>
      <c r="VDT1" s="159"/>
      <c r="VDU1" s="159"/>
      <c r="VDV1" s="159"/>
      <c r="VDW1" s="159"/>
      <c r="VDX1" s="159"/>
      <c r="VDY1" s="159"/>
      <c r="VDZ1" s="159"/>
      <c r="VEA1" s="159"/>
      <c r="VEB1" s="159"/>
      <c r="VEC1" s="159"/>
      <c r="VED1" s="159"/>
      <c r="VEE1" s="159"/>
      <c r="VEF1" s="159"/>
      <c r="VEG1" s="159"/>
      <c r="VEH1" s="159"/>
      <c r="VEI1" s="159"/>
      <c r="VEJ1" s="159"/>
      <c r="VEK1" s="159"/>
      <c r="VEL1" s="159"/>
      <c r="VEM1" s="159"/>
      <c r="VEN1" s="159"/>
      <c r="VEO1" s="159"/>
      <c r="VEP1" s="159"/>
      <c r="VEQ1" s="159"/>
      <c r="VER1" s="159"/>
      <c r="VES1" s="159"/>
      <c r="VET1" s="159"/>
      <c r="VEU1" s="159"/>
      <c r="VEV1" s="159"/>
      <c r="VEW1" s="159"/>
      <c r="VEX1" s="159"/>
      <c r="VEY1" s="159"/>
      <c r="VEZ1" s="159"/>
      <c r="VFA1" s="159"/>
      <c r="VFB1" s="159"/>
      <c r="VFC1" s="159"/>
      <c r="VFD1" s="159"/>
      <c r="VFE1" s="159"/>
      <c r="VFF1" s="159"/>
      <c r="VFG1" s="159"/>
      <c r="VFH1" s="159"/>
      <c r="VFI1" s="159"/>
      <c r="VFJ1" s="159"/>
      <c r="VFK1" s="159"/>
      <c r="VFL1" s="159"/>
      <c r="VFM1" s="159"/>
      <c r="VFN1" s="159"/>
      <c r="VFO1" s="159"/>
      <c r="VFP1" s="159"/>
      <c r="VFQ1" s="159"/>
      <c r="VFR1" s="159"/>
      <c r="VFS1" s="159"/>
      <c r="VFT1" s="159"/>
      <c r="VFU1" s="159"/>
      <c r="VFV1" s="159"/>
      <c r="VFW1" s="159"/>
      <c r="VFX1" s="159"/>
      <c r="VFY1" s="159"/>
      <c r="VFZ1" s="159"/>
      <c r="VGA1" s="159"/>
      <c r="VGB1" s="159"/>
      <c r="VGC1" s="159"/>
      <c r="VGD1" s="159"/>
      <c r="VGE1" s="159"/>
      <c r="VGF1" s="159"/>
      <c r="VGG1" s="159"/>
      <c r="VGH1" s="159"/>
      <c r="VGI1" s="159"/>
      <c r="VGJ1" s="159"/>
      <c r="VGK1" s="159"/>
      <c r="VGL1" s="159"/>
      <c r="VGM1" s="159"/>
      <c r="VGN1" s="159"/>
      <c r="VGO1" s="159"/>
      <c r="VGP1" s="159"/>
      <c r="VGQ1" s="159"/>
      <c r="VGR1" s="159"/>
      <c r="VGS1" s="159"/>
      <c r="VGT1" s="159"/>
      <c r="VGU1" s="159"/>
      <c r="VGV1" s="159"/>
      <c r="VGW1" s="159"/>
      <c r="VGX1" s="159"/>
      <c r="VGY1" s="159"/>
      <c r="VGZ1" s="159"/>
      <c r="VHA1" s="159"/>
      <c r="VHB1" s="159"/>
      <c r="VHC1" s="159"/>
      <c r="VHD1" s="159"/>
      <c r="VHE1" s="159"/>
      <c r="VHF1" s="159"/>
      <c r="VHG1" s="159"/>
      <c r="VHH1" s="159"/>
      <c r="VHI1" s="159"/>
      <c r="VHJ1" s="159"/>
      <c r="VHK1" s="159"/>
      <c r="VHL1" s="159"/>
      <c r="VHM1" s="159"/>
      <c r="VHN1" s="159"/>
      <c r="VHO1" s="159"/>
      <c r="VHP1" s="159"/>
      <c r="VHQ1" s="159"/>
      <c r="VHR1" s="159"/>
      <c r="VHS1" s="159"/>
      <c r="VHT1" s="159"/>
      <c r="VHU1" s="159"/>
      <c r="VHV1" s="159"/>
      <c r="VHW1" s="159"/>
      <c r="VHX1" s="159"/>
      <c r="VHY1" s="159"/>
      <c r="VHZ1" s="159"/>
      <c r="VIA1" s="159"/>
      <c r="VIB1" s="159"/>
      <c r="VIC1" s="159"/>
      <c r="VID1" s="159"/>
      <c r="VIE1" s="159"/>
      <c r="VIF1" s="159"/>
      <c r="VIG1" s="159"/>
      <c r="VIH1" s="159"/>
      <c r="VII1" s="159"/>
      <c r="VIJ1" s="159"/>
      <c r="VIK1" s="159"/>
      <c r="VIL1" s="159"/>
      <c r="VIM1" s="159"/>
      <c r="VIN1" s="159"/>
      <c r="VIO1" s="159"/>
      <c r="VIP1" s="159"/>
      <c r="VIQ1" s="159"/>
      <c r="VIR1" s="159"/>
      <c r="VIS1" s="159"/>
      <c r="VIT1" s="159"/>
      <c r="VIU1" s="159"/>
      <c r="VIV1" s="159"/>
      <c r="VIW1" s="159"/>
      <c r="VIX1" s="159"/>
      <c r="VIY1" s="159"/>
      <c r="VIZ1" s="159"/>
      <c r="VJA1" s="159"/>
      <c r="VJB1" s="159"/>
      <c r="VJC1" s="159"/>
      <c r="VJD1" s="159"/>
      <c r="VJE1" s="159"/>
      <c r="VJF1" s="159"/>
      <c r="VJG1" s="159"/>
      <c r="VJH1" s="159"/>
      <c r="VJI1" s="159"/>
      <c r="VJJ1" s="159"/>
      <c r="VJK1" s="159"/>
      <c r="VJL1" s="159"/>
      <c r="VJM1" s="159"/>
      <c r="VJN1" s="159"/>
      <c r="VJO1" s="159"/>
      <c r="VJP1" s="159"/>
      <c r="VJQ1" s="159"/>
      <c r="VJR1" s="159"/>
      <c r="VJS1" s="159"/>
      <c r="VJT1" s="159"/>
      <c r="VJU1" s="159"/>
      <c r="VJV1" s="159"/>
      <c r="VJW1" s="159"/>
      <c r="VJX1" s="159"/>
      <c r="VJY1" s="159"/>
      <c r="VJZ1" s="159"/>
      <c r="VKA1" s="159"/>
      <c r="VKB1" s="159"/>
      <c r="VKC1" s="159"/>
      <c r="VKD1" s="159"/>
      <c r="VKE1" s="159"/>
      <c r="VKF1" s="159"/>
      <c r="VKG1" s="159"/>
      <c r="VKH1" s="159"/>
      <c r="VKI1" s="159"/>
      <c r="VKJ1" s="159"/>
      <c r="VKK1" s="159"/>
      <c r="VKL1" s="159"/>
      <c r="VKM1" s="159"/>
      <c r="VKN1" s="159"/>
      <c r="VKO1" s="159"/>
      <c r="VKP1" s="159"/>
      <c r="VKQ1" s="159"/>
      <c r="VKR1" s="159"/>
      <c r="VKS1" s="159"/>
      <c r="VKT1" s="159"/>
      <c r="VKU1" s="159"/>
      <c r="VKV1" s="159"/>
      <c r="VKW1" s="159"/>
      <c r="VKX1" s="159"/>
      <c r="VKY1" s="159"/>
      <c r="VKZ1" s="159"/>
      <c r="VLA1" s="159"/>
      <c r="VLB1" s="159"/>
      <c r="VLC1" s="159"/>
      <c r="VLD1" s="159"/>
      <c r="VLE1" s="159"/>
      <c r="VLF1" s="159"/>
      <c r="VLG1" s="159"/>
      <c r="VLH1" s="159"/>
      <c r="VLI1" s="159"/>
      <c r="VLJ1" s="159"/>
      <c r="VLK1" s="159"/>
      <c r="VLL1" s="159"/>
      <c r="VLM1" s="159"/>
      <c r="VLN1" s="159"/>
      <c r="VLO1" s="159"/>
      <c r="VLP1" s="159"/>
      <c r="VNA1" s="159"/>
      <c r="VNO1" s="159"/>
      <c r="VNP1" s="159"/>
      <c r="VNQ1" s="159"/>
      <c r="VNR1" s="159"/>
      <c r="VNS1" s="159"/>
      <c r="VNT1" s="159"/>
      <c r="VNU1" s="159"/>
      <c r="VNV1" s="159"/>
      <c r="VNW1" s="159"/>
      <c r="VNX1" s="159"/>
      <c r="VNY1" s="159"/>
      <c r="VNZ1" s="159"/>
      <c r="VOA1" s="159"/>
      <c r="VOB1" s="159"/>
      <c r="VOC1" s="159"/>
      <c r="VOD1" s="159"/>
      <c r="VOE1" s="159"/>
      <c r="VOF1" s="159"/>
      <c r="VOG1" s="159"/>
      <c r="VOH1" s="159"/>
      <c r="VOI1" s="159"/>
      <c r="VOJ1" s="159"/>
      <c r="VOK1" s="159"/>
      <c r="VOL1" s="159"/>
      <c r="VOM1" s="159"/>
      <c r="VON1" s="159"/>
      <c r="VOO1" s="159"/>
      <c r="VOP1" s="159"/>
      <c r="VOQ1" s="159"/>
      <c r="VOR1" s="159"/>
      <c r="VOS1" s="159"/>
      <c r="VOT1" s="159"/>
      <c r="VOU1" s="159"/>
      <c r="VOV1" s="159"/>
      <c r="VOW1" s="159"/>
      <c r="VOX1" s="159"/>
      <c r="VOY1" s="159"/>
      <c r="VOZ1" s="159"/>
      <c r="VPA1" s="159"/>
      <c r="VPB1" s="159"/>
      <c r="VPC1" s="159"/>
      <c r="VPD1" s="159"/>
      <c r="VPE1" s="159"/>
      <c r="VPF1" s="159"/>
      <c r="VPG1" s="159"/>
      <c r="VPH1" s="159"/>
      <c r="VPI1" s="159"/>
      <c r="VPJ1" s="159"/>
      <c r="VPK1" s="159"/>
      <c r="VPL1" s="159"/>
      <c r="VPM1" s="159"/>
      <c r="VPN1" s="159"/>
      <c r="VPO1" s="159"/>
      <c r="VPP1" s="159"/>
      <c r="VPQ1" s="159"/>
      <c r="VPR1" s="159"/>
      <c r="VPS1" s="159"/>
      <c r="VPT1" s="159"/>
      <c r="VPU1" s="159"/>
      <c r="VPV1" s="159"/>
      <c r="VPW1" s="159"/>
      <c r="VPX1" s="159"/>
      <c r="VPY1" s="159"/>
      <c r="VPZ1" s="159"/>
      <c r="VQA1" s="159"/>
      <c r="VQB1" s="159"/>
      <c r="VQC1" s="159"/>
      <c r="VQD1" s="159"/>
      <c r="VQE1" s="159"/>
      <c r="VQF1" s="159"/>
      <c r="VQG1" s="159"/>
      <c r="VQH1" s="159"/>
      <c r="VQI1" s="159"/>
      <c r="VQJ1" s="159"/>
      <c r="VQK1" s="159"/>
      <c r="VQL1" s="159"/>
      <c r="VQM1" s="159"/>
      <c r="VQN1" s="159"/>
      <c r="VQO1" s="159"/>
      <c r="VQP1" s="159"/>
      <c r="VQQ1" s="159"/>
      <c r="VQR1" s="159"/>
      <c r="VQS1" s="159"/>
      <c r="VQT1" s="159"/>
      <c r="VQU1" s="159"/>
      <c r="VQV1" s="159"/>
      <c r="VQW1" s="159"/>
      <c r="VQX1" s="159"/>
      <c r="VQY1" s="159"/>
      <c r="VQZ1" s="159"/>
      <c r="VRA1" s="159"/>
      <c r="VRB1" s="159"/>
      <c r="VRC1" s="159"/>
      <c r="VRD1" s="159"/>
      <c r="VRE1" s="159"/>
      <c r="VRF1" s="159"/>
      <c r="VRG1" s="159"/>
      <c r="VRH1" s="159"/>
      <c r="VRI1" s="159"/>
      <c r="VRJ1" s="159"/>
      <c r="VRK1" s="159"/>
      <c r="VRL1" s="159"/>
      <c r="VRM1" s="159"/>
      <c r="VRN1" s="159"/>
      <c r="VRO1" s="159"/>
      <c r="VRP1" s="159"/>
      <c r="VRQ1" s="159"/>
      <c r="VRR1" s="159"/>
      <c r="VRS1" s="159"/>
      <c r="VRT1" s="159"/>
      <c r="VRU1" s="159"/>
      <c r="VRV1" s="159"/>
      <c r="VRW1" s="159"/>
      <c r="VRX1" s="159"/>
      <c r="VRY1" s="159"/>
      <c r="VRZ1" s="159"/>
      <c r="VSA1" s="159"/>
      <c r="VSB1" s="159"/>
      <c r="VSC1" s="159"/>
      <c r="VSD1" s="159"/>
      <c r="VSE1" s="159"/>
      <c r="VSF1" s="159"/>
      <c r="VSG1" s="159"/>
      <c r="VSH1" s="159"/>
      <c r="VSI1" s="159"/>
      <c r="VSJ1" s="159"/>
      <c r="VSK1" s="159"/>
      <c r="VSL1" s="159"/>
      <c r="VSM1" s="159"/>
      <c r="VSN1" s="159"/>
      <c r="VSO1" s="159"/>
      <c r="VSP1" s="159"/>
      <c r="VSQ1" s="159"/>
      <c r="VSR1" s="159"/>
      <c r="VSS1" s="159"/>
      <c r="VST1" s="159"/>
      <c r="VSU1" s="159"/>
      <c r="VSV1" s="159"/>
      <c r="VSW1" s="159"/>
      <c r="VSX1" s="159"/>
      <c r="VSY1" s="159"/>
      <c r="VSZ1" s="159"/>
      <c r="VTA1" s="159"/>
      <c r="VTB1" s="159"/>
      <c r="VTC1" s="159"/>
      <c r="VTD1" s="159"/>
      <c r="VTE1" s="159"/>
      <c r="VTF1" s="159"/>
      <c r="VTG1" s="159"/>
      <c r="VTH1" s="159"/>
      <c r="VTI1" s="159"/>
      <c r="VTJ1" s="159"/>
      <c r="VTK1" s="159"/>
      <c r="VTL1" s="159"/>
      <c r="VTM1" s="159"/>
      <c r="VTN1" s="159"/>
      <c r="VTO1" s="159"/>
      <c r="VTP1" s="159"/>
      <c r="VTQ1" s="159"/>
      <c r="VTR1" s="159"/>
      <c r="VTS1" s="159"/>
      <c r="VTT1" s="159"/>
      <c r="VTU1" s="159"/>
      <c r="VTV1" s="159"/>
      <c r="VTW1" s="159"/>
      <c r="VTX1" s="159"/>
      <c r="VTY1" s="159"/>
      <c r="VTZ1" s="159"/>
      <c r="VUA1" s="159"/>
      <c r="VUB1" s="159"/>
      <c r="VUC1" s="159"/>
      <c r="VUD1" s="159"/>
      <c r="VUE1" s="159"/>
      <c r="VUF1" s="159"/>
      <c r="VUG1" s="159"/>
      <c r="VUH1" s="159"/>
      <c r="VUI1" s="159"/>
      <c r="VUJ1" s="159"/>
      <c r="VUK1" s="159"/>
      <c r="VUL1" s="159"/>
      <c r="VUM1" s="159"/>
      <c r="VUN1" s="159"/>
      <c r="VUO1" s="159"/>
      <c r="VUP1" s="159"/>
      <c r="VUQ1" s="159"/>
      <c r="VUR1" s="159"/>
      <c r="VUS1" s="159"/>
      <c r="VUT1" s="159"/>
      <c r="VUU1" s="159"/>
      <c r="VUV1" s="159"/>
      <c r="VUW1" s="159"/>
      <c r="VUX1" s="159"/>
      <c r="VUY1" s="159"/>
      <c r="VUZ1" s="159"/>
      <c r="VVA1" s="159"/>
      <c r="VVB1" s="159"/>
      <c r="VVC1" s="159"/>
      <c r="VVD1" s="159"/>
      <c r="VVE1" s="159"/>
      <c r="VVF1" s="159"/>
      <c r="VVG1" s="159"/>
      <c r="VVH1" s="159"/>
      <c r="VVI1" s="159"/>
      <c r="VVJ1" s="159"/>
      <c r="VVK1" s="159"/>
      <c r="VVL1" s="159"/>
      <c r="VWW1" s="159"/>
      <c r="VXK1" s="159"/>
      <c r="VXL1" s="159"/>
      <c r="VXM1" s="159"/>
      <c r="VXN1" s="159"/>
      <c r="VXO1" s="159"/>
      <c r="VXP1" s="159"/>
      <c r="VXQ1" s="159"/>
      <c r="VXR1" s="159"/>
      <c r="VXS1" s="159"/>
      <c r="VXT1" s="159"/>
      <c r="VXU1" s="159"/>
      <c r="VXV1" s="159"/>
      <c r="VXW1" s="159"/>
      <c r="VXX1" s="159"/>
      <c r="VXY1" s="159"/>
      <c r="VXZ1" s="159"/>
      <c r="VYA1" s="159"/>
      <c r="VYB1" s="159"/>
      <c r="VYC1" s="159"/>
      <c r="VYD1" s="159"/>
      <c r="VYE1" s="159"/>
      <c r="VYF1" s="159"/>
      <c r="VYG1" s="159"/>
      <c r="VYH1" s="159"/>
      <c r="VYI1" s="159"/>
      <c r="VYJ1" s="159"/>
      <c r="VYK1" s="159"/>
      <c r="VYL1" s="159"/>
      <c r="VYM1" s="159"/>
      <c r="VYN1" s="159"/>
      <c r="VYO1" s="159"/>
      <c r="VYP1" s="159"/>
      <c r="VYQ1" s="159"/>
      <c r="VYR1" s="159"/>
      <c r="VYS1" s="159"/>
      <c r="VYT1" s="159"/>
      <c r="VYU1" s="159"/>
      <c r="VYV1" s="159"/>
      <c r="VYW1" s="159"/>
      <c r="VYX1" s="159"/>
      <c r="VYY1" s="159"/>
      <c r="VYZ1" s="159"/>
      <c r="VZA1" s="159"/>
      <c r="VZB1" s="159"/>
      <c r="VZC1" s="159"/>
      <c r="VZD1" s="159"/>
      <c r="VZE1" s="159"/>
      <c r="VZF1" s="159"/>
      <c r="VZG1" s="159"/>
      <c r="VZH1" s="159"/>
      <c r="VZI1" s="159"/>
      <c r="VZJ1" s="159"/>
      <c r="VZK1" s="159"/>
      <c r="VZL1" s="159"/>
      <c r="VZM1" s="159"/>
      <c r="VZN1" s="159"/>
      <c r="VZO1" s="159"/>
      <c r="VZP1" s="159"/>
      <c r="VZQ1" s="159"/>
      <c r="VZR1" s="159"/>
      <c r="VZS1" s="159"/>
      <c r="VZT1" s="159"/>
      <c r="VZU1" s="159"/>
      <c r="VZV1" s="159"/>
      <c r="VZW1" s="159"/>
      <c r="VZX1" s="159"/>
      <c r="VZY1" s="159"/>
      <c r="VZZ1" s="159"/>
      <c r="WAA1" s="159"/>
      <c r="WAB1" s="159"/>
      <c r="WAC1" s="159"/>
      <c r="WAD1" s="159"/>
      <c r="WAE1" s="159"/>
      <c r="WAF1" s="159"/>
      <c r="WAG1" s="159"/>
      <c r="WAH1" s="159"/>
      <c r="WAI1" s="159"/>
      <c r="WAJ1" s="159"/>
      <c r="WAK1" s="159"/>
      <c r="WAL1" s="159"/>
      <c r="WAM1" s="159"/>
      <c r="WAN1" s="159"/>
      <c r="WAO1" s="159"/>
      <c r="WAP1" s="159"/>
      <c r="WAQ1" s="159"/>
      <c r="WAR1" s="159"/>
      <c r="WAS1" s="159"/>
      <c r="WAT1" s="159"/>
      <c r="WAU1" s="159"/>
      <c r="WAV1" s="159"/>
      <c r="WAW1" s="159"/>
      <c r="WAX1" s="159"/>
      <c r="WAY1" s="159"/>
      <c r="WAZ1" s="159"/>
      <c r="WBA1" s="159"/>
      <c r="WBB1" s="159"/>
      <c r="WBC1" s="159"/>
      <c r="WBD1" s="159"/>
      <c r="WBE1" s="159"/>
      <c r="WBF1" s="159"/>
      <c r="WBG1" s="159"/>
      <c r="WBH1" s="159"/>
      <c r="WBI1" s="159"/>
      <c r="WBJ1" s="159"/>
      <c r="WBK1" s="159"/>
      <c r="WBL1" s="159"/>
      <c r="WBM1" s="159"/>
      <c r="WBN1" s="159"/>
      <c r="WBO1" s="159"/>
      <c r="WBP1" s="159"/>
      <c r="WBQ1" s="159"/>
      <c r="WBR1" s="159"/>
      <c r="WBS1" s="159"/>
      <c r="WBT1" s="159"/>
      <c r="WBU1" s="159"/>
      <c r="WBV1" s="159"/>
      <c r="WBW1" s="159"/>
      <c r="WBX1" s="159"/>
      <c r="WBY1" s="159"/>
      <c r="WBZ1" s="159"/>
      <c r="WCA1" s="159"/>
      <c r="WCB1" s="159"/>
      <c r="WCC1" s="159"/>
      <c r="WCD1" s="159"/>
      <c r="WCE1" s="159"/>
      <c r="WCF1" s="159"/>
      <c r="WCG1" s="159"/>
      <c r="WCH1" s="159"/>
      <c r="WCI1" s="159"/>
      <c r="WCJ1" s="159"/>
      <c r="WCK1" s="159"/>
      <c r="WCL1" s="159"/>
      <c r="WCM1" s="159"/>
      <c r="WCN1" s="159"/>
      <c r="WCO1" s="159"/>
      <c r="WCP1" s="159"/>
      <c r="WCQ1" s="159"/>
      <c r="WCR1" s="159"/>
      <c r="WCS1" s="159"/>
      <c r="WCT1" s="159"/>
      <c r="WCU1" s="159"/>
      <c r="WCV1" s="159"/>
      <c r="WCW1" s="159"/>
      <c r="WCX1" s="159"/>
      <c r="WCY1" s="159"/>
      <c r="WCZ1" s="159"/>
      <c r="WDA1" s="159"/>
      <c r="WDB1" s="159"/>
      <c r="WDC1" s="159"/>
      <c r="WDD1" s="159"/>
      <c r="WDE1" s="159"/>
      <c r="WDF1" s="159"/>
      <c r="WDG1" s="159"/>
      <c r="WDH1" s="159"/>
      <c r="WDI1" s="159"/>
      <c r="WDJ1" s="159"/>
      <c r="WDK1" s="159"/>
      <c r="WDL1" s="159"/>
      <c r="WDM1" s="159"/>
      <c r="WDN1" s="159"/>
      <c r="WDO1" s="159"/>
      <c r="WDP1" s="159"/>
      <c r="WDQ1" s="159"/>
      <c r="WDR1" s="159"/>
      <c r="WDS1" s="159"/>
      <c r="WDT1" s="159"/>
      <c r="WDU1" s="159"/>
      <c r="WDV1" s="159"/>
      <c r="WDW1" s="159"/>
      <c r="WDX1" s="159"/>
      <c r="WDY1" s="159"/>
      <c r="WDZ1" s="159"/>
      <c r="WEA1" s="159"/>
      <c r="WEB1" s="159"/>
      <c r="WEC1" s="159"/>
      <c r="WED1" s="159"/>
      <c r="WEE1" s="159"/>
      <c r="WEF1" s="159"/>
      <c r="WEG1" s="159"/>
      <c r="WEH1" s="159"/>
      <c r="WEI1" s="159"/>
      <c r="WEJ1" s="159"/>
      <c r="WEK1" s="159"/>
      <c r="WEL1" s="159"/>
      <c r="WEM1" s="159"/>
      <c r="WEN1" s="159"/>
      <c r="WEO1" s="159"/>
      <c r="WEP1" s="159"/>
      <c r="WEQ1" s="159"/>
      <c r="WER1" s="159"/>
      <c r="WES1" s="159"/>
      <c r="WET1" s="159"/>
      <c r="WEU1" s="159"/>
      <c r="WEV1" s="159"/>
      <c r="WEW1" s="159"/>
      <c r="WEX1" s="159"/>
      <c r="WEY1" s="159"/>
      <c r="WEZ1" s="159"/>
      <c r="WFA1" s="159"/>
      <c r="WFB1" s="159"/>
      <c r="WFC1" s="159"/>
      <c r="WFD1" s="159"/>
      <c r="WFE1" s="159"/>
      <c r="WFF1" s="159"/>
      <c r="WFG1" s="159"/>
      <c r="WFH1" s="159"/>
      <c r="WGS1" s="159"/>
      <c r="WHG1" s="159"/>
      <c r="WHH1" s="159"/>
      <c r="WHI1" s="159"/>
      <c r="WHJ1" s="159"/>
      <c r="WHK1" s="159"/>
      <c r="WHL1" s="159"/>
      <c r="WHM1" s="159"/>
      <c r="WHN1" s="159"/>
      <c r="WHO1" s="159"/>
      <c r="WHP1" s="159"/>
      <c r="WHQ1" s="159"/>
      <c r="WHR1" s="159"/>
      <c r="WHS1" s="159"/>
      <c r="WHT1" s="159"/>
      <c r="WHU1" s="159"/>
      <c r="WHV1" s="159"/>
      <c r="WHW1" s="159"/>
      <c r="WHX1" s="159"/>
      <c r="WHY1" s="159"/>
      <c r="WHZ1" s="159"/>
      <c r="WIA1" s="159"/>
      <c r="WIB1" s="159"/>
      <c r="WIC1" s="159"/>
      <c r="WID1" s="159"/>
      <c r="WIE1" s="159"/>
      <c r="WIF1" s="159"/>
      <c r="WIG1" s="159"/>
      <c r="WIH1" s="159"/>
      <c r="WII1" s="159"/>
      <c r="WIJ1" s="159"/>
      <c r="WIK1" s="159"/>
      <c r="WIL1" s="159"/>
      <c r="WIM1" s="159"/>
      <c r="WIN1" s="159"/>
      <c r="WIO1" s="159"/>
      <c r="WIP1" s="159"/>
      <c r="WIQ1" s="159"/>
      <c r="WIR1" s="159"/>
      <c r="WIS1" s="159"/>
      <c r="WIT1" s="159"/>
      <c r="WIU1" s="159"/>
      <c r="WIV1" s="159"/>
      <c r="WIW1" s="159"/>
      <c r="WIX1" s="159"/>
      <c r="WIY1" s="159"/>
      <c r="WIZ1" s="159"/>
      <c r="WJA1" s="159"/>
      <c r="WJB1" s="159"/>
      <c r="WJC1" s="159"/>
      <c r="WJD1" s="159"/>
      <c r="WJE1" s="159"/>
      <c r="WJF1" s="159"/>
      <c r="WJG1" s="159"/>
      <c r="WJH1" s="159"/>
      <c r="WJI1" s="159"/>
      <c r="WJJ1" s="159"/>
      <c r="WJK1" s="159"/>
      <c r="WJL1" s="159"/>
      <c r="WJM1" s="159"/>
      <c r="WJN1" s="159"/>
      <c r="WJO1" s="159"/>
      <c r="WJP1" s="159"/>
      <c r="WJQ1" s="159"/>
      <c r="WJR1" s="159"/>
      <c r="WJS1" s="159"/>
      <c r="WJT1" s="159"/>
      <c r="WJU1" s="159"/>
      <c r="WJV1" s="159"/>
      <c r="WJW1" s="159"/>
      <c r="WJX1" s="159"/>
      <c r="WJY1" s="159"/>
      <c r="WJZ1" s="159"/>
      <c r="WKA1" s="159"/>
      <c r="WKB1" s="159"/>
      <c r="WKC1" s="159"/>
      <c r="WKD1" s="159"/>
      <c r="WKE1" s="159"/>
      <c r="WKF1" s="159"/>
      <c r="WKG1" s="159"/>
      <c r="WKH1" s="159"/>
      <c r="WKI1" s="159"/>
      <c r="WKJ1" s="159"/>
      <c r="WKK1" s="159"/>
      <c r="WKL1" s="159"/>
      <c r="WKM1" s="159"/>
      <c r="WKN1" s="159"/>
      <c r="WKO1" s="159"/>
      <c r="WKP1" s="159"/>
      <c r="WKQ1" s="159"/>
      <c r="WKR1" s="159"/>
      <c r="WKS1" s="159"/>
      <c r="WKT1" s="159"/>
      <c r="WKU1" s="159"/>
      <c r="WKV1" s="159"/>
      <c r="WKW1" s="159"/>
      <c r="WKX1" s="159"/>
      <c r="WKY1" s="159"/>
      <c r="WKZ1" s="159"/>
      <c r="WLA1" s="159"/>
      <c r="WLB1" s="159"/>
      <c r="WLC1" s="159"/>
      <c r="WLD1" s="159"/>
      <c r="WLE1" s="159"/>
      <c r="WLF1" s="159"/>
      <c r="WLG1" s="159"/>
      <c r="WLH1" s="159"/>
      <c r="WLI1" s="159"/>
      <c r="WLJ1" s="159"/>
      <c r="WLK1" s="159"/>
      <c r="WLL1" s="159"/>
      <c r="WLM1" s="159"/>
      <c r="WLN1" s="159"/>
      <c r="WLO1" s="159"/>
      <c r="WLP1" s="159"/>
      <c r="WLQ1" s="159"/>
      <c r="WLR1" s="159"/>
      <c r="WLS1" s="159"/>
      <c r="WLT1" s="159"/>
      <c r="WLU1" s="159"/>
      <c r="WLV1" s="159"/>
      <c r="WLW1" s="159"/>
      <c r="WLX1" s="159"/>
      <c r="WLY1" s="159"/>
      <c r="WLZ1" s="159"/>
      <c r="WMA1" s="159"/>
      <c r="WMB1" s="159"/>
      <c r="WMC1" s="159"/>
      <c r="WMD1" s="159"/>
      <c r="WME1" s="159"/>
      <c r="WMF1" s="159"/>
      <c r="WMG1" s="159"/>
      <c r="WMH1" s="159"/>
      <c r="WMI1" s="159"/>
      <c r="WMJ1" s="159"/>
      <c r="WMK1" s="159"/>
      <c r="WML1" s="159"/>
      <c r="WMM1" s="159"/>
      <c r="WMN1" s="159"/>
      <c r="WMO1" s="159"/>
      <c r="WMP1" s="159"/>
      <c r="WMQ1" s="159"/>
      <c r="WMR1" s="159"/>
      <c r="WMS1" s="159"/>
      <c r="WMT1" s="159"/>
      <c r="WMU1" s="159"/>
      <c r="WMV1" s="159"/>
      <c r="WMW1" s="159"/>
      <c r="WMX1" s="159"/>
      <c r="WMY1" s="159"/>
      <c r="WMZ1" s="159"/>
      <c r="WNA1" s="159"/>
      <c r="WNB1" s="159"/>
      <c r="WNC1" s="159"/>
      <c r="WND1" s="159"/>
      <c r="WNE1" s="159"/>
      <c r="WNF1" s="159"/>
      <c r="WNG1" s="159"/>
      <c r="WNH1" s="159"/>
      <c r="WNI1" s="159"/>
      <c r="WNJ1" s="159"/>
      <c r="WNK1" s="159"/>
      <c r="WNL1" s="159"/>
      <c r="WNM1" s="159"/>
      <c r="WNN1" s="159"/>
      <c r="WNO1" s="159"/>
      <c r="WNP1" s="159"/>
      <c r="WNQ1" s="159"/>
      <c r="WNR1" s="159"/>
      <c r="WNS1" s="159"/>
      <c r="WNT1" s="159"/>
      <c r="WNU1" s="159"/>
      <c r="WNV1" s="159"/>
      <c r="WNW1" s="159"/>
      <c r="WNX1" s="159"/>
      <c r="WNY1" s="159"/>
      <c r="WNZ1" s="159"/>
      <c r="WOA1" s="159"/>
      <c r="WOB1" s="159"/>
      <c r="WOC1" s="159"/>
      <c r="WOD1" s="159"/>
      <c r="WOE1" s="159"/>
      <c r="WOF1" s="159"/>
      <c r="WOG1" s="159"/>
      <c r="WOH1" s="159"/>
      <c r="WOI1" s="159"/>
      <c r="WOJ1" s="159"/>
      <c r="WOK1" s="159"/>
      <c r="WOL1" s="159"/>
      <c r="WOM1" s="159"/>
      <c r="WON1" s="159"/>
      <c r="WOO1" s="159"/>
      <c r="WOP1" s="159"/>
      <c r="WOQ1" s="159"/>
      <c r="WOR1" s="159"/>
      <c r="WOS1" s="159"/>
      <c r="WOT1" s="159"/>
      <c r="WOU1" s="159"/>
      <c r="WOV1" s="159"/>
      <c r="WOW1" s="159"/>
      <c r="WOX1" s="159"/>
      <c r="WOY1" s="159"/>
      <c r="WOZ1" s="159"/>
      <c r="WPA1" s="159"/>
      <c r="WPB1" s="159"/>
      <c r="WPC1" s="159"/>
      <c r="WPD1" s="159"/>
      <c r="WQO1" s="159"/>
      <c r="WRC1" s="159"/>
      <c r="WRD1" s="159"/>
      <c r="WRE1" s="159"/>
      <c r="WRF1" s="159"/>
      <c r="WRG1" s="159"/>
      <c r="WRH1" s="159"/>
      <c r="WRI1" s="159"/>
      <c r="WRJ1" s="159"/>
      <c r="WRK1" s="159"/>
      <c r="WRL1" s="159"/>
      <c r="WRM1" s="159"/>
      <c r="WRN1" s="159"/>
      <c r="WRO1" s="159"/>
      <c r="WRP1" s="159"/>
      <c r="WRQ1" s="159"/>
      <c r="WRR1" s="159"/>
      <c r="WRS1" s="159"/>
      <c r="WRT1" s="159"/>
      <c r="WRU1" s="159"/>
      <c r="WRV1" s="159"/>
      <c r="WRW1" s="159"/>
      <c r="WRX1" s="159"/>
      <c r="WRY1" s="159"/>
      <c r="WRZ1" s="159"/>
      <c r="WSA1" s="159"/>
      <c r="WSB1" s="159"/>
      <c r="WSC1" s="159"/>
      <c r="WSD1" s="159"/>
      <c r="WSE1" s="159"/>
      <c r="WSF1" s="159"/>
      <c r="WSG1" s="159"/>
      <c r="WSH1" s="159"/>
      <c r="WSI1" s="159"/>
      <c r="WSJ1" s="159"/>
      <c r="WSK1" s="159"/>
      <c r="WSL1" s="159"/>
      <c r="WSM1" s="159"/>
      <c r="WSN1" s="159"/>
      <c r="WSO1" s="159"/>
      <c r="WSP1" s="159"/>
      <c r="WSQ1" s="159"/>
      <c r="WSR1" s="159"/>
      <c r="WSS1" s="159"/>
      <c r="WST1" s="159"/>
      <c r="WSU1" s="159"/>
      <c r="WSV1" s="159"/>
      <c r="WSW1" s="159"/>
      <c r="WSX1" s="159"/>
      <c r="WSY1" s="159"/>
      <c r="WSZ1" s="159"/>
      <c r="WTA1" s="159"/>
      <c r="WTB1" s="159"/>
      <c r="WTC1" s="159"/>
      <c r="WTD1" s="159"/>
      <c r="WTE1" s="159"/>
      <c r="WTF1" s="159"/>
      <c r="WTG1" s="159"/>
      <c r="WTH1" s="159"/>
      <c r="WTI1" s="159"/>
      <c r="WTJ1" s="159"/>
      <c r="WTK1" s="159"/>
      <c r="WTL1" s="159"/>
      <c r="WTM1" s="159"/>
      <c r="WTN1" s="159"/>
      <c r="WTO1" s="159"/>
      <c r="WTP1" s="159"/>
      <c r="WTQ1" s="159"/>
      <c r="WTR1" s="159"/>
      <c r="WTS1" s="159"/>
      <c r="WTT1" s="159"/>
      <c r="WTU1" s="159"/>
      <c r="WTV1" s="159"/>
      <c r="WTW1" s="159"/>
      <c r="WTX1" s="159"/>
      <c r="WTY1" s="159"/>
      <c r="WTZ1" s="159"/>
      <c r="WUA1" s="159"/>
      <c r="WUB1" s="159"/>
      <c r="WUC1" s="159"/>
      <c r="WUD1" s="159"/>
      <c r="WUE1" s="159"/>
      <c r="WUF1" s="159"/>
      <c r="WUG1" s="159"/>
      <c r="WUH1" s="159"/>
      <c r="WUI1" s="159"/>
      <c r="WUJ1" s="159"/>
      <c r="WUK1" s="159"/>
      <c r="WUL1" s="159"/>
      <c r="WUM1" s="159"/>
      <c r="WUN1" s="159"/>
      <c r="WUO1" s="159"/>
      <c r="WUP1" s="159"/>
      <c r="WUQ1" s="159"/>
      <c r="WUR1" s="159"/>
      <c r="WUS1" s="159"/>
      <c r="WUT1" s="159"/>
      <c r="WUU1" s="159"/>
      <c r="WUV1" s="159"/>
      <c r="WUW1" s="159"/>
      <c r="WUX1" s="159"/>
      <c r="WUY1" s="159"/>
      <c r="WUZ1" s="159"/>
      <c r="WVA1" s="159"/>
      <c r="WVB1" s="159"/>
      <c r="WVC1" s="159"/>
      <c r="WVD1" s="159"/>
      <c r="WVE1" s="159"/>
      <c r="WVF1" s="159"/>
      <c r="WVG1" s="159"/>
      <c r="WVH1" s="159"/>
      <c r="WVI1" s="159"/>
      <c r="WVJ1" s="159"/>
      <c r="WVK1" s="159"/>
      <c r="WVL1" s="159"/>
      <c r="WVM1" s="159"/>
      <c r="WVN1" s="159"/>
      <c r="WVO1" s="159"/>
      <c r="WVP1" s="159"/>
      <c r="WVQ1" s="159"/>
      <c r="WVR1" s="159"/>
      <c r="WVS1" s="159"/>
      <c r="WVT1" s="159"/>
      <c r="WVU1" s="159"/>
      <c r="WVV1" s="159"/>
      <c r="WVW1" s="159"/>
      <c r="WVX1" s="159"/>
      <c r="WVY1" s="159"/>
      <c r="WVZ1" s="159"/>
      <c r="WWA1" s="159"/>
      <c r="WWB1" s="159"/>
      <c r="WWC1" s="159"/>
      <c r="WWD1" s="159"/>
      <c r="WWE1" s="159"/>
      <c r="WWF1" s="159"/>
      <c r="WWG1" s="159"/>
      <c r="WWH1" s="159"/>
      <c r="WWI1" s="159"/>
      <c r="WWJ1" s="159"/>
      <c r="WWK1" s="159"/>
      <c r="WWL1" s="159"/>
      <c r="WWM1" s="159"/>
      <c r="WWN1" s="159"/>
      <c r="WWO1" s="159"/>
      <c r="WWP1" s="159"/>
      <c r="WWQ1" s="159"/>
      <c r="WWR1" s="159"/>
      <c r="WWS1" s="159"/>
      <c r="WWT1" s="159"/>
      <c r="WWU1" s="159"/>
      <c r="WWV1" s="159"/>
      <c r="WWW1" s="159"/>
      <c r="WWX1" s="159"/>
      <c r="WWY1" s="159"/>
      <c r="WWZ1" s="159"/>
      <c r="WXA1" s="159"/>
      <c r="WXB1" s="159"/>
      <c r="WXC1" s="159"/>
      <c r="WXD1" s="159"/>
      <c r="WXE1" s="159"/>
      <c r="WXF1" s="159"/>
      <c r="WXG1" s="159"/>
      <c r="WXH1" s="159"/>
      <c r="WXI1" s="159"/>
      <c r="WXJ1" s="159"/>
      <c r="WXK1" s="159"/>
      <c r="WXL1" s="159"/>
      <c r="WXM1" s="159"/>
      <c r="WXN1" s="159"/>
      <c r="WXO1" s="159"/>
      <c r="WXP1" s="159"/>
      <c r="WXQ1" s="159"/>
      <c r="WXR1" s="159"/>
      <c r="WXS1" s="159"/>
      <c r="WXT1" s="159"/>
      <c r="WXU1" s="159"/>
      <c r="WXV1" s="159"/>
      <c r="WXW1" s="159"/>
      <c r="WXX1" s="159"/>
      <c r="WXY1" s="159"/>
      <c r="WXZ1" s="159"/>
      <c r="WYA1" s="159"/>
      <c r="WYB1" s="159"/>
      <c r="WYC1" s="159"/>
      <c r="WYD1" s="159"/>
      <c r="WYE1" s="159"/>
      <c r="WYF1" s="159"/>
      <c r="WYG1" s="159"/>
      <c r="WYH1" s="159"/>
      <c r="WYI1" s="159"/>
      <c r="WYJ1" s="159"/>
      <c r="WYK1" s="159"/>
      <c r="WYL1" s="159"/>
      <c r="WYM1" s="159"/>
      <c r="WYN1" s="159"/>
      <c r="WYO1" s="159"/>
      <c r="WYP1" s="159"/>
      <c r="WYQ1" s="159"/>
      <c r="WYR1" s="159"/>
      <c r="WYS1" s="159"/>
      <c r="WYT1" s="159"/>
      <c r="WYU1" s="159"/>
      <c r="WYV1" s="159"/>
      <c r="WYW1" s="159"/>
      <c r="WYX1" s="159"/>
      <c r="WYY1" s="159"/>
      <c r="WYZ1" s="159"/>
      <c r="XAK1" s="159"/>
      <c r="XAY1" s="159"/>
      <c r="XAZ1" s="159"/>
      <c r="XBA1" s="159"/>
      <c r="XBB1" s="159"/>
      <c r="XBC1" s="159"/>
      <c r="XBD1" s="159"/>
      <c r="XBE1" s="159"/>
      <c r="XBF1" s="159"/>
      <c r="XBG1" s="159"/>
      <c r="XBH1" s="159"/>
      <c r="XBI1" s="159"/>
      <c r="XBJ1" s="159"/>
      <c r="XBK1" s="159"/>
      <c r="XBL1" s="159"/>
      <c r="XBM1" s="159"/>
      <c r="XBN1" s="159"/>
      <c r="XBO1" s="159"/>
      <c r="XBP1" s="159"/>
      <c r="XBQ1" s="159"/>
      <c r="XBR1" s="159"/>
      <c r="XBS1" s="159"/>
      <c r="XBT1" s="159"/>
      <c r="XBU1" s="159"/>
      <c r="XBV1" s="159"/>
      <c r="XBW1" s="159"/>
      <c r="XBX1" s="159"/>
      <c r="XBY1" s="159"/>
      <c r="XBZ1" s="159"/>
      <c r="XCA1" s="159"/>
      <c r="XCB1" s="159"/>
      <c r="XCC1" s="159"/>
      <c r="XCD1" s="159"/>
      <c r="XCE1" s="159"/>
      <c r="XCF1" s="159"/>
      <c r="XCG1" s="159"/>
      <c r="XCH1" s="159"/>
      <c r="XCI1" s="159"/>
      <c r="XCJ1" s="159"/>
      <c r="XCK1" s="159"/>
      <c r="XCL1" s="159"/>
      <c r="XCM1" s="159"/>
      <c r="XCN1" s="159"/>
      <c r="XCO1" s="159"/>
      <c r="XCP1" s="159"/>
      <c r="XCQ1" s="159"/>
      <c r="XCR1" s="159"/>
      <c r="XCS1" s="159"/>
      <c r="XCT1" s="159"/>
      <c r="XCU1" s="159"/>
      <c r="XCV1" s="159"/>
      <c r="XCW1" s="159"/>
      <c r="XCX1" s="159"/>
      <c r="XCY1" s="159"/>
      <c r="XCZ1" s="159"/>
      <c r="XDA1" s="159"/>
      <c r="XDB1" s="159"/>
      <c r="XDC1" s="159"/>
      <c r="XDD1" s="159"/>
      <c r="XDE1" s="159"/>
      <c r="XDF1" s="159"/>
      <c r="XDG1" s="159"/>
      <c r="XDH1" s="159"/>
      <c r="XDI1" s="159"/>
      <c r="XDJ1" s="159"/>
      <c r="XDK1" s="159"/>
      <c r="XDL1" s="159"/>
      <c r="XDM1" s="159"/>
      <c r="XDN1" s="159"/>
      <c r="XDO1" s="159"/>
      <c r="XDP1" s="159"/>
      <c r="XDQ1" s="159"/>
      <c r="XDR1" s="159"/>
      <c r="XDS1" s="159"/>
      <c r="XDT1" s="159"/>
      <c r="XDU1" s="159"/>
      <c r="XDV1" s="159"/>
      <c r="XDW1" s="159"/>
      <c r="XDX1" s="159"/>
      <c r="XDY1" s="159"/>
      <c r="XDZ1" s="159"/>
      <c r="XEA1" s="159"/>
      <c r="XEB1" s="159"/>
      <c r="XEC1" s="159"/>
      <c r="XED1" s="159"/>
      <c r="XEE1" s="159"/>
      <c r="XEF1" s="159"/>
      <c r="XEG1" s="159"/>
      <c r="XEH1" s="159"/>
      <c r="XEI1" s="159"/>
      <c r="XEJ1" s="159"/>
      <c r="XEK1" s="159"/>
      <c r="XEL1" s="159"/>
      <c r="XEM1" s="159"/>
      <c r="XEN1" s="159"/>
      <c r="XEO1" s="159"/>
      <c r="XEP1" s="159"/>
      <c r="XEQ1" s="159"/>
      <c r="XER1" s="159"/>
      <c r="XES1" s="159"/>
      <c r="XET1" s="159"/>
      <c r="XEU1" s="159"/>
      <c r="XEV1" s="159"/>
      <c r="XEW1" s="159"/>
      <c r="XEX1" s="159"/>
      <c r="XEY1" s="159"/>
      <c r="XEZ1" s="159"/>
      <c r="XFA1" s="159"/>
      <c r="XFB1" s="159"/>
      <c r="XFC1" s="159"/>
      <c r="XFD1" s="159"/>
    </row>
    <row r="2" spans="1:16384">
      <c r="A2" s="41"/>
      <c r="B2" s="114"/>
      <c r="C2" s="114"/>
      <c r="D2" s="42"/>
      <c r="E2" s="521">
        <v>44776</v>
      </c>
      <c r="F2" s="522"/>
      <c r="G2" s="522"/>
      <c r="H2" s="518">
        <v>44807</v>
      </c>
      <c r="I2" s="520"/>
      <c r="J2" s="518">
        <v>44837</v>
      </c>
      <c r="K2" s="519"/>
      <c r="L2" s="520"/>
      <c r="M2" s="518">
        <v>44868</v>
      </c>
      <c r="N2" s="519"/>
      <c r="O2" s="520"/>
      <c r="P2" s="523" t="s">
        <v>43</v>
      </c>
      <c r="Q2" s="520"/>
      <c r="R2" s="230">
        <v>2022</v>
      </c>
      <c r="S2" s="518">
        <v>44929</v>
      </c>
      <c r="T2" s="519"/>
      <c r="U2" s="520"/>
      <c r="V2" s="518">
        <v>44960</v>
      </c>
      <c r="W2" s="519"/>
      <c r="X2" s="520"/>
      <c r="Y2" s="518">
        <v>44988</v>
      </c>
      <c r="Z2" s="520"/>
      <c r="AA2" s="518">
        <v>45019</v>
      </c>
      <c r="AB2" s="519"/>
      <c r="AC2" s="520"/>
      <c r="AD2" s="518">
        <v>45049</v>
      </c>
      <c r="AE2" s="520"/>
      <c r="AF2" s="518">
        <v>45080</v>
      </c>
      <c r="AG2" s="519"/>
      <c r="AH2" s="520"/>
      <c r="AI2" s="515">
        <v>45110</v>
      </c>
      <c r="AJ2" s="516"/>
      <c r="AK2" s="517"/>
      <c r="AL2" s="515">
        <v>45141</v>
      </c>
      <c r="AM2" s="516"/>
      <c r="AN2" s="517"/>
      <c r="AO2" s="518">
        <v>45172</v>
      </c>
      <c r="AP2" s="519"/>
      <c r="AQ2" s="520"/>
      <c r="AR2" s="518">
        <v>45202</v>
      </c>
      <c r="AS2" s="519"/>
      <c r="AT2" s="520"/>
      <c r="AU2" s="518">
        <v>45233</v>
      </c>
      <c r="AV2" s="519"/>
      <c r="AW2" s="520"/>
      <c r="AX2" s="518">
        <v>45263</v>
      </c>
      <c r="AY2" s="519"/>
      <c r="AZ2" s="520"/>
      <c r="BA2" s="518">
        <v>45264</v>
      </c>
      <c r="BB2" s="520"/>
      <c r="BC2" s="229">
        <v>2023</v>
      </c>
      <c r="BD2" s="514">
        <v>45292</v>
      </c>
      <c r="BE2" s="513"/>
      <c r="BF2" s="472"/>
      <c r="BG2" s="514">
        <v>45294</v>
      </c>
      <c r="BH2" s="513"/>
      <c r="BI2" s="472"/>
      <c r="BJ2" s="514">
        <v>45324</v>
      </c>
      <c r="BK2" s="513"/>
      <c r="BL2" s="472"/>
      <c r="BM2" s="514">
        <v>45354</v>
      </c>
      <c r="BN2" s="513"/>
      <c r="BO2" s="472"/>
      <c r="BP2" s="514">
        <v>45385</v>
      </c>
      <c r="BQ2" s="513"/>
      <c r="BR2" s="472"/>
      <c r="BS2" s="514">
        <v>45415</v>
      </c>
      <c r="BT2" s="513"/>
      <c r="BU2" s="472"/>
      <c r="BV2" s="514">
        <v>45446</v>
      </c>
      <c r="BW2" s="513"/>
      <c r="BX2" s="472"/>
      <c r="BY2" s="514">
        <v>45476</v>
      </c>
      <c r="BZ2" s="513"/>
      <c r="CA2" s="472"/>
      <c r="CB2" s="514">
        <v>45507</v>
      </c>
      <c r="CC2" s="513"/>
      <c r="CD2" s="472"/>
      <c r="CE2" s="514">
        <v>45538</v>
      </c>
      <c r="CF2" s="513"/>
      <c r="CG2" s="472"/>
      <c r="CH2" s="514">
        <v>45568</v>
      </c>
      <c r="CI2" s="513"/>
      <c r="CJ2" s="472"/>
      <c r="CK2" s="514">
        <v>45597</v>
      </c>
      <c r="CL2" s="513"/>
      <c r="CM2" s="472"/>
      <c r="CN2" s="514">
        <v>45599</v>
      </c>
      <c r="CO2" s="513"/>
      <c r="CP2" s="472"/>
      <c r="CQ2" s="514">
        <v>45627</v>
      </c>
      <c r="CR2" s="513"/>
      <c r="CS2" s="472"/>
      <c r="CT2" s="514">
        <v>45628</v>
      </c>
      <c r="CU2" s="513"/>
      <c r="CV2" s="472"/>
      <c r="CW2" s="514">
        <v>45629</v>
      </c>
      <c r="CX2" s="513"/>
      <c r="CY2" s="472"/>
      <c r="CZ2" s="317">
        <v>2024</v>
      </c>
      <c r="DA2" s="352">
        <v>2025</v>
      </c>
      <c r="DB2" s="512">
        <v>45658</v>
      </c>
      <c r="DC2" s="513"/>
      <c r="DD2" s="513"/>
      <c r="DE2" s="512">
        <v>45660</v>
      </c>
      <c r="DF2" s="513"/>
      <c r="DG2" s="513"/>
      <c r="DH2" s="512">
        <v>45689</v>
      </c>
      <c r="DI2" s="513"/>
      <c r="DJ2" s="513"/>
      <c r="DK2" s="512">
        <v>45691</v>
      </c>
      <c r="DL2" s="513"/>
      <c r="DM2" s="513"/>
      <c r="DN2" s="512">
        <v>45717</v>
      </c>
      <c r="DO2" s="513"/>
      <c r="DP2" s="513"/>
      <c r="DQ2" s="512">
        <v>45719</v>
      </c>
      <c r="DR2" s="513"/>
      <c r="DS2" s="513"/>
      <c r="DT2" s="512">
        <v>45748</v>
      </c>
      <c r="DU2" s="513"/>
      <c r="DV2" s="513"/>
      <c r="DW2" s="512">
        <v>45750</v>
      </c>
      <c r="DX2" s="513"/>
      <c r="DY2" s="513"/>
      <c r="DZ2" s="512">
        <v>45778</v>
      </c>
      <c r="EA2" s="513"/>
      <c r="EB2" s="513"/>
      <c r="EC2" s="512">
        <v>45780</v>
      </c>
      <c r="ED2" s="513"/>
      <c r="EE2" s="513"/>
      <c r="EF2" s="512">
        <v>45809</v>
      </c>
      <c r="EG2" s="513"/>
      <c r="EH2" s="513"/>
      <c r="EI2" s="512">
        <v>45811</v>
      </c>
      <c r="EJ2" s="513"/>
      <c r="EK2" s="513"/>
      <c r="EL2" s="512">
        <v>45839</v>
      </c>
      <c r="EM2" s="513"/>
      <c r="EN2" s="513"/>
      <c r="EO2" s="512">
        <v>45841</v>
      </c>
      <c r="EP2" s="513"/>
      <c r="EQ2" s="513"/>
      <c r="ER2" s="512">
        <v>45870</v>
      </c>
      <c r="ES2" s="513"/>
      <c r="ET2" s="513"/>
      <c r="EU2" s="264"/>
      <c r="EV2" s="240"/>
      <c r="EW2" s="314"/>
      <c r="EX2" s="316"/>
      <c r="EY2" s="322"/>
      <c r="EZ2" s="323"/>
      <c r="FA2" s="324"/>
    </row>
    <row r="3" spans="1:16384" s="112" customFormat="1">
      <c r="A3" s="46" t="s">
        <v>44</v>
      </c>
      <c r="B3" s="46" t="s">
        <v>190</v>
      </c>
      <c r="C3" s="46" t="s">
        <v>159</v>
      </c>
      <c r="D3" s="47" t="s">
        <v>45</v>
      </c>
      <c r="E3" s="34">
        <v>1</v>
      </c>
      <c r="F3" s="34">
        <v>2</v>
      </c>
      <c r="G3" s="34">
        <v>3</v>
      </c>
      <c r="H3" s="34">
        <v>1</v>
      </c>
      <c r="I3" s="34">
        <v>2</v>
      </c>
      <c r="J3" s="34">
        <v>1</v>
      </c>
      <c r="K3" s="34">
        <v>2</v>
      </c>
      <c r="L3" s="34">
        <v>3</v>
      </c>
      <c r="M3" s="34">
        <v>1</v>
      </c>
      <c r="N3" s="34">
        <v>2</v>
      </c>
      <c r="O3" s="34">
        <v>3</v>
      </c>
      <c r="P3" s="34">
        <v>1</v>
      </c>
      <c r="Q3" s="34">
        <v>2</v>
      </c>
      <c r="R3" s="34"/>
      <c r="S3" s="46">
        <v>1</v>
      </c>
      <c r="T3" s="46">
        <v>2</v>
      </c>
      <c r="U3" s="46">
        <v>3</v>
      </c>
      <c r="V3" s="34">
        <v>1</v>
      </c>
      <c r="W3" s="34">
        <v>2</v>
      </c>
      <c r="X3" s="34">
        <v>3</v>
      </c>
      <c r="Y3" s="34">
        <v>1</v>
      </c>
      <c r="Z3" s="34">
        <v>2</v>
      </c>
      <c r="AA3" s="34">
        <v>1</v>
      </c>
      <c r="AB3" s="34">
        <v>2</v>
      </c>
      <c r="AC3" s="34">
        <v>3</v>
      </c>
      <c r="AD3" s="34">
        <v>1</v>
      </c>
      <c r="AE3" s="34">
        <v>2</v>
      </c>
      <c r="AF3" s="34">
        <v>1</v>
      </c>
      <c r="AG3" s="34">
        <v>2</v>
      </c>
      <c r="AH3" s="34">
        <v>3</v>
      </c>
      <c r="AI3" s="34">
        <v>1</v>
      </c>
      <c r="AJ3" s="34">
        <v>2</v>
      </c>
      <c r="AK3" s="34">
        <v>3</v>
      </c>
      <c r="AL3" s="34">
        <v>1</v>
      </c>
      <c r="AM3" s="34">
        <v>2</v>
      </c>
      <c r="AN3" s="34">
        <v>3</v>
      </c>
      <c r="AO3" s="34">
        <v>1</v>
      </c>
      <c r="AP3" s="34">
        <v>2</v>
      </c>
      <c r="AQ3" s="34">
        <v>3</v>
      </c>
      <c r="AR3" s="34">
        <v>1</v>
      </c>
      <c r="AS3" s="34">
        <v>2</v>
      </c>
      <c r="AT3" s="34">
        <v>3</v>
      </c>
      <c r="AU3" s="34">
        <v>1</v>
      </c>
      <c r="AV3" s="34">
        <v>2</v>
      </c>
      <c r="AW3" s="34">
        <v>3</v>
      </c>
      <c r="AX3" s="34">
        <v>1</v>
      </c>
      <c r="AY3" s="34">
        <v>2</v>
      </c>
      <c r="AZ3" s="34">
        <v>3</v>
      </c>
      <c r="BA3" s="34">
        <v>1</v>
      </c>
      <c r="BB3" s="34">
        <v>2</v>
      </c>
      <c r="BC3" s="46"/>
      <c r="BD3" s="34">
        <v>1</v>
      </c>
      <c r="BE3" s="34">
        <v>2</v>
      </c>
      <c r="BF3" s="34">
        <v>3</v>
      </c>
      <c r="BG3" s="34">
        <v>1</v>
      </c>
      <c r="BH3" s="34">
        <v>2</v>
      </c>
      <c r="BI3" s="34">
        <v>3</v>
      </c>
      <c r="BJ3" s="34">
        <v>1</v>
      </c>
      <c r="BK3" s="34">
        <v>2</v>
      </c>
      <c r="BL3" s="34">
        <v>3</v>
      </c>
      <c r="BM3" s="34">
        <v>1</v>
      </c>
      <c r="BN3" s="34">
        <v>2</v>
      </c>
      <c r="BO3" s="34">
        <v>3</v>
      </c>
      <c r="BP3" s="34">
        <v>1</v>
      </c>
      <c r="BQ3" s="34">
        <v>2</v>
      </c>
      <c r="BR3" s="34">
        <v>3</v>
      </c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119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4"/>
      <c r="EV3" s="34"/>
      <c r="EW3" s="34" t="s">
        <v>46</v>
      </c>
      <c r="EX3" s="298"/>
      <c r="EY3" s="118" t="s">
        <v>321</v>
      </c>
      <c r="EZ3" s="118" t="s">
        <v>331</v>
      </c>
      <c r="FA3" s="325" t="s">
        <v>326</v>
      </c>
      <c r="FB3" s="408" t="s">
        <v>170</v>
      </c>
      <c r="FC3" s="12" t="s">
        <v>344</v>
      </c>
    </row>
    <row r="4" spans="1:16384" ht="18.75">
      <c r="A4" s="55" t="s">
        <v>81</v>
      </c>
      <c r="B4" s="55" t="s">
        <v>191</v>
      </c>
      <c r="C4" s="55" t="s">
        <v>156</v>
      </c>
      <c r="D4" s="18"/>
      <c r="E4" s="18"/>
      <c r="F4" s="18"/>
      <c r="G4" s="18"/>
      <c r="H4" s="18">
        <v>144</v>
      </c>
      <c r="I4" s="18">
        <v>168</v>
      </c>
      <c r="J4" s="18">
        <v>139</v>
      </c>
      <c r="K4" s="18">
        <v>172</v>
      </c>
      <c r="L4" s="20">
        <v>205</v>
      </c>
      <c r="M4" s="18">
        <v>150</v>
      </c>
      <c r="N4" s="18">
        <v>150</v>
      </c>
      <c r="O4" s="18">
        <v>142</v>
      </c>
      <c r="P4" s="18"/>
      <c r="Q4" s="18"/>
      <c r="R4" s="5"/>
      <c r="S4" s="18">
        <v>138</v>
      </c>
      <c r="T4" s="18">
        <v>115</v>
      </c>
      <c r="U4" s="18">
        <v>152</v>
      </c>
      <c r="V4" s="18">
        <v>176</v>
      </c>
      <c r="W4" s="18">
        <v>158</v>
      </c>
      <c r="X4" s="18">
        <v>166</v>
      </c>
      <c r="Y4" s="18">
        <v>179</v>
      </c>
      <c r="Z4" s="18">
        <v>95</v>
      </c>
      <c r="AA4" s="20">
        <v>229</v>
      </c>
      <c r="AB4" s="18">
        <v>114</v>
      </c>
      <c r="AC4" s="18">
        <v>161</v>
      </c>
      <c r="AD4" s="18">
        <v>114</v>
      </c>
      <c r="AE4" s="18">
        <v>159</v>
      </c>
      <c r="AF4" s="58">
        <v>198</v>
      </c>
      <c r="AG4" s="58">
        <v>182</v>
      </c>
      <c r="AH4" s="58">
        <v>133</v>
      </c>
      <c r="AI4" s="18">
        <v>194</v>
      </c>
      <c r="AJ4" s="18">
        <v>152</v>
      </c>
      <c r="AK4" s="18">
        <v>192</v>
      </c>
      <c r="AL4" s="18">
        <v>158</v>
      </c>
      <c r="AM4" s="20">
        <v>215</v>
      </c>
      <c r="AN4" s="18">
        <v>157</v>
      </c>
      <c r="AO4" s="18">
        <v>134</v>
      </c>
      <c r="AP4" s="18">
        <v>179</v>
      </c>
      <c r="AQ4" s="18">
        <v>157</v>
      </c>
      <c r="AR4" s="28">
        <v>176</v>
      </c>
      <c r="AS4" s="28">
        <v>215</v>
      </c>
      <c r="AT4" s="28">
        <v>160</v>
      </c>
      <c r="AU4" s="18">
        <v>136</v>
      </c>
      <c r="AV4" s="18">
        <v>154</v>
      </c>
      <c r="AW4" s="18">
        <v>155</v>
      </c>
      <c r="AX4" s="18">
        <v>184</v>
      </c>
      <c r="AY4" s="18">
        <v>159</v>
      </c>
      <c r="AZ4" s="18">
        <v>162</v>
      </c>
      <c r="BA4" s="18"/>
      <c r="BB4" s="18"/>
      <c r="BC4" s="5"/>
      <c r="BD4" s="18">
        <v>147</v>
      </c>
      <c r="BE4" s="18">
        <v>165</v>
      </c>
      <c r="BF4" s="18">
        <v>181</v>
      </c>
      <c r="BG4" s="18">
        <v>179</v>
      </c>
      <c r="BH4" s="18">
        <v>157</v>
      </c>
      <c r="BI4" s="18">
        <v>155</v>
      </c>
      <c r="BJ4" s="18">
        <v>180</v>
      </c>
      <c r="BK4" s="18">
        <v>147</v>
      </c>
      <c r="BL4" s="18">
        <v>128</v>
      </c>
      <c r="BM4" s="18">
        <v>162</v>
      </c>
      <c r="BN4" s="18">
        <v>213</v>
      </c>
      <c r="BO4" s="18">
        <v>178</v>
      </c>
      <c r="BP4" s="18">
        <v>221</v>
      </c>
      <c r="BQ4" s="18">
        <v>192</v>
      </c>
      <c r="BR4" s="18">
        <v>188</v>
      </c>
      <c r="BS4" s="18">
        <v>197</v>
      </c>
      <c r="BT4" s="18">
        <v>177</v>
      </c>
      <c r="BU4" s="18">
        <v>140</v>
      </c>
      <c r="BV4" s="18">
        <v>165</v>
      </c>
      <c r="BW4" s="18">
        <v>190</v>
      </c>
      <c r="BX4" s="18">
        <v>148</v>
      </c>
      <c r="BY4" s="18">
        <v>151</v>
      </c>
      <c r="BZ4" s="18">
        <v>166</v>
      </c>
      <c r="CA4" s="18">
        <v>147</v>
      </c>
      <c r="CB4" s="18">
        <v>158</v>
      </c>
      <c r="CC4" s="18">
        <v>201</v>
      </c>
      <c r="CD4" s="18">
        <v>205</v>
      </c>
      <c r="CE4" s="18">
        <v>155</v>
      </c>
      <c r="CF4" s="18">
        <v>185</v>
      </c>
      <c r="CG4" s="336">
        <v>226</v>
      </c>
      <c r="CH4" s="18">
        <v>149</v>
      </c>
      <c r="CI4" s="18">
        <v>151</v>
      </c>
      <c r="CJ4" s="18">
        <v>122</v>
      </c>
      <c r="CK4" s="18">
        <v>150</v>
      </c>
      <c r="CL4" s="18">
        <v>202</v>
      </c>
      <c r="CM4" s="18">
        <v>163</v>
      </c>
      <c r="CN4" s="18">
        <v>215</v>
      </c>
      <c r="CO4" s="18">
        <v>140</v>
      </c>
      <c r="CP4" s="18">
        <v>180</v>
      </c>
      <c r="CQ4" s="18"/>
      <c r="CR4" s="18"/>
      <c r="CS4" s="18"/>
      <c r="CT4" s="18">
        <v>163</v>
      </c>
      <c r="CU4" s="18">
        <v>169</v>
      </c>
      <c r="CV4" s="18">
        <v>179</v>
      </c>
      <c r="CW4" s="18">
        <v>165</v>
      </c>
      <c r="CX4" s="18">
        <v>124</v>
      </c>
      <c r="CY4" s="18">
        <v>163</v>
      </c>
      <c r="CZ4" s="18"/>
      <c r="DA4" s="18"/>
      <c r="DB4" s="18">
        <v>149</v>
      </c>
      <c r="DC4" s="18">
        <v>214</v>
      </c>
      <c r="DD4" s="18">
        <v>155</v>
      </c>
      <c r="DE4" s="18">
        <v>154</v>
      </c>
      <c r="DF4" s="18">
        <v>159</v>
      </c>
      <c r="DG4" s="18">
        <v>170</v>
      </c>
      <c r="DH4" s="18">
        <v>220</v>
      </c>
      <c r="DI4" s="18">
        <v>205</v>
      </c>
      <c r="DJ4" s="18">
        <v>178</v>
      </c>
      <c r="DK4" s="18">
        <v>134</v>
      </c>
      <c r="DL4" s="18">
        <v>214</v>
      </c>
      <c r="DM4" s="18">
        <v>137</v>
      </c>
      <c r="DN4" s="18">
        <v>126</v>
      </c>
      <c r="DO4" s="18">
        <v>164</v>
      </c>
      <c r="DP4" s="18">
        <v>148</v>
      </c>
      <c r="DQ4" s="18">
        <v>157</v>
      </c>
      <c r="DR4" s="18">
        <v>167</v>
      </c>
      <c r="DS4" s="18">
        <v>138</v>
      </c>
      <c r="DT4" s="18">
        <v>190</v>
      </c>
      <c r="DU4" s="18">
        <v>192</v>
      </c>
      <c r="DV4" s="18">
        <v>161</v>
      </c>
      <c r="DW4" s="18">
        <v>185</v>
      </c>
      <c r="DX4" s="18">
        <v>169</v>
      </c>
      <c r="DY4" s="18">
        <v>175</v>
      </c>
      <c r="DZ4" s="18">
        <v>165</v>
      </c>
      <c r="EA4" s="18">
        <v>156</v>
      </c>
      <c r="EB4" s="18">
        <v>161</v>
      </c>
      <c r="EC4" s="18">
        <v>185</v>
      </c>
      <c r="ED4" s="18">
        <v>192</v>
      </c>
      <c r="EE4" s="18">
        <v>149</v>
      </c>
      <c r="EF4" s="18">
        <v>183</v>
      </c>
      <c r="EG4" s="18">
        <v>143</v>
      </c>
      <c r="EH4" s="18">
        <v>137</v>
      </c>
      <c r="EI4" s="18"/>
      <c r="EJ4" s="18"/>
      <c r="EK4" s="18"/>
      <c r="EL4" s="18">
        <v>156</v>
      </c>
      <c r="EM4" s="18">
        <v>200</v>
      </c>
      <c r="EN4" s="18">
        <v>131</v>
      </c>
      <c r="EO4" s="18">
        <v>131</v>
      </c>
      <c r="EP4" s="18">
        <v>169</v>
      </c>
      <c r="EQ4" s="18">
        <v>188</v>
      </c>
      <c r="ER4" s="18">
        <v>181</v>
      </c>
      <c r="ES4" s="18">
        <v>174</v>
      </c>
      <c r="ET4" s="18">
        <v>197</v>
      </c>
      <c r="EU4" s="18"/>
      <c r="EV4" s="266" t="str">
        <f>A4</f>
        <v>최은규</v>
      </c>
      <c r="EW4" s="144">
        <f>IFERROR(SUM(ER4:ET4)/3,0)</f>
        <v>184</v>
      </c>
      <c r="EX4" s="266" t="str">
        <f>A4</f>
        <v>최은규</v>
      </c>
      <c r="EY4" s="144">
        <f>IFERROR(IF(COUNT($E4:EU4)&gt;20,(SUM( INDEX((($E4:EU4&lt;&gt;"")*COLUMN($E4:EU4)&lt;= LARGE(INDEX(($E4:EU4&lt;&gt;"")*COLUMN($E4:EU4),),1))*$E4:EU4,)) - SUM(INDEX((($E4:EU4&lt;&gt;"")*COLUMN($E4:EU4)&lt; LARGE(INDEX(($E4:EU4&lt;&gt;"")*COLUMN($E4:EU4),),20))*$E4:EU4,)))/20,SUM($E4:EU4)/COUNT($E4:EU4)),0)</f>
        <v>167.1</v>
      </c>
      <c r="EZ4" s="144">
        <f>IFERROR(IF(COUNT($E4:EU4)&gt;10,(SUM( INDEX((($E4:EU4&lt;&gt;"")*COLUMN($E4:EU4)&lt;= LARGE(INDEX(($E4:EU4&lt;&gt;"")*COLUMN($E4:EU4),),1))*$E4:EU4,)) - SUM(INDEX((($E4:EU4&lt;&gt;"")*COLUMN($E4:EU4)&lt; LARGE(INDEX(($E4:EU4&lt;&gt;"")*COLUMN($E4:EU4),),10))*$E4:EU4,)))/10,SUM($E4:EU4)/COUNT($E4:EU4)),0)</f>
        <v>166.4</v>
      </c>
      <c r="FA4" s="348">
        <f>EZ4-EY4</f>
        <v>-0.69999999999998863</v>
      </c>
      <c r="FB4" s="460">
        <f>MAX(EX4:EX4)</f>
        <v>0</v>
      </c>
      <c r="FC4" s="361" t="s">
        <v>477</v>
      </c>
    </row>
    <row r="5" spans="1:16384" ht="20.100000000000001" customHeight="1">
      <c r="A5" s="59" t="s">
        <v>293</v>
      </c>
      <c r="B5" s="252" t="s">
        <v>191</v>
      </c>
      <c r="C5" s="252" t="s">
        <v>157</v>
      </c>
      <c r="D5" s="253">
        <v>12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99">
        <f>104+D5</f>
        <v>116</v>
      </c>
      <c r="CI5" s="99">
        <f>97+D5</f>
        <v>109</v>
      </c>
      <c r="CJ5" s="99">
        <f>127+D5</f>
        <v>139</v>
      </c>
      <c r="CK5" s="99">
        <f>151+D5</f>
        <v>163</v>
      </c>
      <c r="CL5" s="99">
        <f>145+D5</f>
        <v>157</v>
      </c>
      <c r="CM5" s="99">
        <f>123+D5</f>
        <v>135</v>
      </c>
      <c r="CN5" s="99">
        <f>109+D5</f>
        <v>121</v>
      </c>
      <c r="CO5" s="99">
        <f>146+D5</f>
        <v>158</v>
      </c>
      <c r="CP5" s="99">
        <f>159+D5</f>
        <v>171</v>
      </c>
      <c r="CQ5" s="99"/>
      <c r="CR5" s="99"/>
      <c r="CS5" s="99"/>
      <c r="CT5" s="99">
        <f>129+D5</f>
        <v>141</v>
      </c>
      <c r="CU5" s="99">
        <f>137+D5</f>
        <v>149</v>
      </c>
      <c r="CV5" s="99">
        <f>99+D5</f>
        <v>111</v>
      </c>
      <c r="CW5" s="99">
        <f>108+D5</f>
        <v>120</v>
      </c>
      <c r="CX5" s="99">
        <f>145+D5</f>
        <v>157</v>
      </c>
      <c r="CY5" s="99">
        <f>97+D5</f>
        <v>109</v>
      </c>
      <c r="CZ5" s="99"/>
      <c r="DA5" s="18"/>
      <c r="DB5" s="99"/>
      <c r="DC5" s="99"/>
      <c r="DD5" s="99"/>
      <c r="DE5" s="99">
        <f>142+12</f>
        <v>154</v>
      </c>
      <c r="DF5" s="99">
        <f>155+12</f>
        <v>167</v>
      </c>
      <c r="DG5" s="99">
        <f>106+12</f>
        <v>118</v>
      </c>
      <c r="DH5" s="99"/>
      <c r="DI5" s="99"/>
      <c r="DJ5" s="99"/>
      <c r="DK5" s="99">
        <f>127+D5</f>
        <v>139</v>
      </c>
      <c r="DL5" s="99">
        <f>148+D5</f>
        <v>160</v>
      </c>
      <c r="DM5" s="99">
        <f>141+D5</f>
        <v>153</v>
      </c>
      <c r="DN5" s="99"/>
      <c r="DO5" s="99"/>
      <c r="DP5" s="99"/>
      <c r="DQ5" s="99">
        <f>85+D5</f>
        <v>97</v>
      </c>
      <c r="DR5" s="99">
        <f>127+D5</f>
        <v>139</v>
      </c>
      <c r="DS5" s="99">
        <f>119+D5</f>
        <v>131</v>
      </c>
      <c r="DT5" s="99">
        <f>113+D5</f>
        <v>125</v>
      </c>
      <c r="DU5" s="99">
        <f>102+D5</f>
        <v>114</v>
      </c>
      <c r="DV5" s="99">
        <f>125+D5</f>
        <v>137</v>
      </c>
      <c r="DW5" s="99"/>
      <c r="DX5" s="99"/>
      <c r="DY5" s="99"/>
      <c r="DZ5" s="99">
        <f>181+D5</f>
        <v>193</v>
      </c>
      <c r="EA5" s="99">
        <f>136+D5</f>
        <v>148</v>
      </c>
      <c r="EB5" s="99">
        <f>152+D5</f>
        <v>164</v>
      </c>
      <c r="EC5" s="18">
        <f>141+D5</f>
        <v>153</v>
      </c>
      <c r="ED5" s="18">
        <f>136+D5</f>
        <v>148</v>
      </c>
      <c r="EE5" s="18">
        <f>132+D5</f>
        <v>144</v>
      </c>
      <c r="EF5" s="18">
        <f>174+D5</f>
        <v>186</v>
      </c>
      <c r="EG5" s="18">
        <f>129+D5</f>
        <v>141</v>
      </c>
      <c r="EH5" s="18">
        <f>116+D5</f>
        <v>128</v>
      </c>
      <c r="EI5" s="18">
        <f>112+D5</f>
        <v>124</v>
      </c>
      <c r="EJ5" s="18">
        <f>174+D5</f>
        <v>186</v>
      </c>
      <c r="EK5" s="18">
        <f>135+D5</f>
        <v>147</v>
      </c>
      <c r="EL5" s="18">
        <f>176+D5</f>
        <v>188</v>
      </c>
      <c r="EM5" s="18">
        <f>135+D5</f>
        <v>147</v>
      </c>
      <c r="EN5" s="18">
        <f>167+D5</f>
        <v>179</v>
      </c>
      <c r="EO5" s="18">
        <f>136+D5</f>
        <v>148</v>
      </c>
      <c r="EP5" s="18">
        <f>134+D5</f>
        <v>146</v>
      </c>
      <c r="EQ5" s="18">
        <f>172+D5</f>
        <v>184</v>
      </c>
      <c r="ER5" s="18">
        <f>201+D5</f>
        <v>213</v>
      </c>
      <c r="ES5" s="18">
        <f>123+D5</f>
        <v>135</v>
      </c>
      <c r="ET5" s="18">
        <f>192+D5</f>
        <v>204</v>
      </c>
      <c r="EU5" s="99"/>
      <c r="EV5" s="266" t="str">
        <f>A5</f>
        <v>오수인</v>
      </c>
      <c r="EW5" s="144">
        <f>IFERROR(SUM(ER5:ET5)/3,0)</f>
        <v>184</v>
      </c>
      <c r="EX5" s="266" t="str">
        <f>A5</f>
        <v>오수인</v>
      </c>
      <c r="EY5" s="144">
        <f>IFERROR(IF(COUNT($E5:EU5)&gt;20,(SUM( INDEX((($E5:EU5&lt;&gt;"")*COLUMN($E5:EU5)&lt;= LARGE(INDEX(($E5:EU5&lt;&gt;"")*COLUMN($E5:EU5),),1))*$E5:EU5,)) - SUM(INDEX((($E5:EU5&lt;&gt;"")*COLUMN($E5:EU5)&lt; LARGE(INDEX(($E5:EU5&lt;&gt;"")*COLUMN($E5:EU5),),20))*$E5:EU5,)))/20,SUM($E5:EU5)/COUNT($E5:EU5)),0)</f>
        <v>160.65</v>
      </c>
      <c r="EZ5" s="144">
        <f>IFERROR(IF(COUNT($E5:EU5)&gt;10,(SUM( INDEX((($E5:EU5&lt;&gt;"")*COLUMN($E5:EU5)&lt;= LARGE(INDEX(($E5:EU5&lt;&gt;"")*COLUMN($E5:EU5),),1))*$E5:EU5,)) - SUM(INDEX((($E5:EU5&lt;&gt;"")*COLUMN($E5:EU5)&lt; LARGE(INDEX(($E5:EU5&lt;&gt;"")*COLUMN($E5:EU5),),10))*$E5:EU5,)))/10,SUM($E5:EU5)/COUNT($E5:EU5)),0)</f>
        <v>169.1</v>
      </c>
      <c r="FA5" s="348">
        <f>EZ5-EY5</f>
        <v>8.4499999999999886</v>
      </c>
      <c r="FB5" s="163">
        <f>MAX(EX5:EX5)</f>
        <v>0</v>
      </c>
      <c r="FC5" s="361" t="s">
        <v>345</v>
      </c>
    </row>
    <row r="6" spans="1:16384" ht="20.100000000000001" customHeight="1">
      <c r="A6" s="55" t="s">
        <v>79</v>
      </c>
      <c r="B6" s="55" t="s">
        <v>191</v>
      </c>
      <c r="C6" s="55" t="s">
        <v>156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5"/>
      <c r="S6" s="80"/>
      <c r="T6" s="80"/>
      <c r="U6" s="80"/>
      <c r="V6" s="67"/>
      <c r="W6" s="67"/>
      <c r="X6" s="67"/>
      <c r="Y6" s="67"/>
      <c r="Z6" s="67"/>
      <c r="AA6" s="67">
        <v>124</v>
      </c>
      <c r="AB6" s="67">
        <v>126</v>
      </c>
      <c r="AC6" s="67">
        <v>147</v>
      </c>
      <c r="AD6" s="67">
        <v>198</v>
      </c>
      <c r="AE6" s="67">
        <v>126</v>
      </c>
      <c r="AF6" s="67">
        <v>179</v>
      </c>
      <c r="AG6" s="67">
        <v>149</v>
      </c>
      <c r="AH6" s="67">
        <v>169</v>
      </c>
      <c r="AI6" s="67"/>
      <c r="AJ6" s="67"/>
      <c r="AK6" s="67"/>
      <c r="AL6" s="18"/>
      <c r="AM6" s="18"/>
      <c r="AN6" s="18"/>
      <c r="AO6" s="18">
        <v>133</v>
      </c>
      <c r="AP6" s="18">
        <v>136</v>
      </c>
      <c r="AQ6" s="18">
        <v>151</v>
      </c>
      <c r="AR6" s="28">
        <v>148</v>
      </c>
      <c r="AS6" s="28">
        <v>131</v>
      </c>
      <c r="AT6" s="28">
        <v>180</v>
      </c>
      <c r="AU6" s="18">
        <v>165</v>
      </c>
      <c r="AV6" s="18">
        <v>131</v>
      </c>
      <c r="AW6" s="18">
        <v>161</v>
      </c>
      <c r="AX6" s="18"/>
      <c r="AY6" s="18"/>
      <c r="AZ6" s="18"/>
      <c r="BA6" s="18">
        <v>168</v>
      </c>
      <c r="BB6" s="18">
        <v>125</v>
      </c>
      <c r="BC6" s="5"/>
      <c r="BD6" s="18">
        <v>116</v>
      </c>
      <c r="BE6" s="18">
        <v>157</v>
      </c>
      <c r="BF6" s="18">
        <v>171</v>
      </c>
      <c r="BG6" s="18">
        <v>124</v>
      </c>
      <c r="BH6" s="18">
        <v>170</v>
      </c>
      <c r="BI6" s="18">
        <v>181</v>
      </c>
      <c r="BJ6" s="18">
        <v>154</v>
      </c>
      <c r="BK6" s="18">
        <v>124</v>
      </c>
      <c r="BL6" s="18">
        <v>158</v>
      </c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>
        <v>195</v>
      </c>
      <c r="CC6" s="18">
        <v>130</v>
      </c>
      <c r="CD6" s="18">
        <v>124</v>
      </c>
      <c r="CE6" s="18"/>
      <c r="CF6" s="18"/>
      <c r="CG6" s="18"/>
      <c r="CH6" s="18">
        <v>181</v>
      </c>
      <c r="CI6" s="18">
        <v>197</v>
      </c>
      <c r="CJ6" s="18">
        <v>147</v>
      </c>
      <c r="CK6" s="18">
        <v>143</v>
      </c>
      <c r="CL6" s="18">
        <v>178</v>
      </c>
      <c r="CM6" s="18">
        <v>154</v>
      </c>
      <c r="CN6" s="18">
        <v>131</v>
      </c>
      <c r="CO6" s="18">
        <v>164</v>
      </c>
      <c r="CP6" s="18">
        <v>178</v>
      </c>
      <c r="CQ6" s="18">
        <v>166</v>
      </c>
      <c r="CR6" s="18">
        <v>148</v>
      </c>
      <c r="CS6" s="18">
        <v>144</v>
      </c>
      <c r="CT6" s="18">
        <v>155</v>
      </c>
      <c r="CU6" s="18">
        <v>162</v>
      </c>
      <c r="CV6" s="18">
        <v>172</v>
      </c>
      <c r="CW6" s="18">
        <v>141</v>
      </c>
      <c r="CX6" s="18">
        <v>188</v>
      </c>
      <c r="CY6" s="18">
        <v>158</v>
      </c>
      <c r="CZ6" s="18"/>
      <c r="DA6" s="18"/>
      <c r="DB6" s="18"/>
      <c r="DC6" s="18"/>
      <c r="DD6" s="18"/>
      <c r="DE6" s="18">
        <v>135</v>
      </c>
      <c r="DF6" s="18">
        <v>120</v>
      </c>
      <c r="DG6" s="18">
        <v>144</v>
      </c>
      <c r="DH6" s="18">
        <v>178</v>
      </c>
      <c r="DI6" s="18">
        <v>169</v>
      </c>
      <c r="DJ6" s="18">
        <v>149</v>
      </c>
      <c r="DK6" s="18"/>
      <c r="DL6" s="18"/>
      <c r="DM6" s="18"/>
      <c r="DN6" s="18"/>
      <c r="DO6" s="18"/>
      <c r="DP6" s="18"/>
      <c r="DQ6" s="18">
        <v>103</v>
      </c>
      <c r="DR6" s="18">
        <v>177</v>
      </c>
      <c r="DS6" s="18">
        <v>135</v>
      </c>
      <c r="DT6" s="18">
        <v>162</v>
      </c>
      <c r="DU6" s="18">
        <v>125</v>
      </c>
      <c r="DV6" s="18">
        <v>173</v>
      </c>
      <c r="DW6" s="18">
        <v>164</v>
      </c>
      <c r="DX6" s="18">
        <v>140</v>
      </c>
      <c r="DY6" s="18">
        <v>189</v>
      </c>
      <c r="DZ6" s="18">
        <v>171</v>
      </c>
      <c r="EA6" s="18">
        <v>136</v>
      </c>
      <c r="EB6" s="18">
        <v>192</v>
      </c>
      <c r="EC6" s="18"/>
      <c r="ED6" s="18"/>
      <c r="EE6" s="18"/>
      <c r="EF6" s="18">
        <v>176</v>
      </c>
      <c r="EG6" s="18">
        <v>155</v>
      </c>
      <c r="EH6" s="18">
        <v>157</v>
      </c>
      <c r="EI6" s="18">
        <v>169</v>
      </c>
      <c r="EJ6" s="18">
        <v>184</v>
      </c>
      <c r="EK6" s="18">
        <v>213</v>
      </c>
      <c r="EL6" s="18">
        <v>125</v>
      </c>
      <c r="EM6" s="18">
        <v>116</v>
      </c>
      <c r="EN6" s="18">
        <v>153</v>
      </c>
      <c r="EO6" s="18">
        <v>160</v>
      </c>
      <c r="EP6" s="18">
        <v>157</v>
      </c>
      <c r="EQ6" s="18">
        <v>162</v>
      </c>
      <c r="ER6" s="18">
        <v>196</v>
      </c>
      <c r="ES6" s="18">
        <v>182</v>
      </c>
      <c r="ET6" s="18">
        <v>158</v>
      </c>
      <c r="EU6" s="18"/>
      <c r="EV6" s="266" t="str">
        <f>A6</f>
        <v>채승엽</v>
      </c>
      <c r="EW6" s="144">
        <f>IFERROR(SUM(ER6:ET6)/3,0)</f>
        <v>178.66666666666666</v>
      </c>
      <c r="EX6" s="266" t="str">
        <f>A6</f>
        <v>채승엽</v>
      </c>
      <c r="EY6" s="144">
        <f>IFERROR(IF(COUNT($E6:EU6)&gt;20,(SUM( INDEX((($E6:EU6&lt;&gt;"")*COLUMN($E6:EU6)&lt;= LARGE(INDEX(($E6:EU6&lt;&gt;"")*COLUMN($E6:EU6),),1))*$E6:EU6,)) - SUM(INDEX((($E6:EU6&lt;&gt;"")*COLUMN($E6:EU6)&lt; LARGE(INDEX(($E6:EU6&lt;&gt;"")*COLUMN($E6:EU6),),20))*$E6:EU6,)))/20,SUM($E6:EU6)/COUNT($E6:EU6)),0)</f>
        <v>164.55</v>
      </c>
      <c r="EZ6" s="144">
        <f>IFERROR(IF(COUNT($E6:EU6)&gt;10,(SUM( INDEX((($E6:EU6&lt;&gt;"")*COLUMN($E6:EU6)&lt;= LARGE(INDEX(($E6:EU6&lt;&gt;"")*COLUMN($E6:EU6),),1))*$E6:EU6,)) - SUM(INDEX((($E6:EU6&lt;&gt;"")*COLUMN($E6:EU6)&lt; LARGE(INDEX(($E6:EU6&lt;&gt;"")*COLUMN($E6:EU6),),10))*$E6:EU6,)))/10,SUM($E6:EU6)/COUNT($E6:EU6)),0)</f>
        <v>162.19999999999999</v>
      </c>
      <c r="FA6" s="348">
        <f>EZ6-EY6</f>
        <v>-2.3500000000000227</v>
      </c>
      <c r="FB6" s="163">
        <f>MAX(EX6:EX6)</f>
        <v>0</v>
      </c>
      <c r="FC6" s="361" t="s">
        <v>345</v>
      </c>
    </row>
    <row r="7" spans="1:16384" ht="19.5" customHeight="1">
      <c r="A7" s="59" t="s">
        <v>292</v>
      </c>
      <c r="B7" s="252" t="s">
        <v>191</v>
      </c>
      <c r="C7" s="252" t="s">
        <v>157</v>
      </c>
      <c r="D7" s="253">
        <v>12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99">
        <f>124+D7</f>
        <v>136</v>
      </c>
      <c r="CI7" s="99">
        <f>161+D7</f>
        <v>173</v>
      </c>
      <c r="CJ7" s="99">
        <f>94+D7</f>
        <v>106</v>
      </c>
      <c r="CK7" s="99">
        <f>106+D7</f>
        <v>118</v>
      </c>
      <c r="CL7" s="99">
        <f>148+D7</f>
        <v>160</v>
      </c>
      <c r="CM7" s="99">
        <f>134+D7</f>
        <v>146</v>
      </c>
      <c r="CN7" s="99"/>
      <c r="CO7" s="99"/>
      <c r="CP7" s="99"/>
      <c r="CQ7" s="99"/>
      <c r="CR7" s="99"/>
      <c r="CS7" s="99"/>
      <c r="CT7" s="99"/>
      <c r="CU7" s="99"/>
      <c r="CV7" s="99"/>
      <c r="CW7" s="99">
        <f>135+D7</f>
        <v>147</v>
      </c>
      <c r="CX7" s="99">
        <f>145+D7</f>
        <v>157</v>
      </c>
      <c r="CY7" s="99">
        <f>142+D7</f>
        <v>154</v>
      </c>
      <c r="CZ7" s="99"/>
      <c r="DA7" s="18"/>
      <c r="DB7" s="99"/>
      <c r="DC7" s="99"/>
      <c r="DD7" s="99"/>
      <c r="DE7" s="99">
        <f>145+12</f>
        <v>157</v>
      </c>
      <c r="DF7" s="99">
        <f>129+12</f>
        <v>141</v>
      </c>
      <c r="DG7" s="99">
        <f>139+12</f>
        <v>151</v>
      </c>
      <c r="DH7" s="99"/>
      <c r="DI7" s="99"/>
      <c r="DJ7" s="99"/>
      <c r="DK7" s="99">
        <f>139+D7</f>
        <v>151</v>
      </c>
      <c r="DL7" s="99">
        <f>127+D7</f>
        <v>139</v>
      </c>
      <c r="DM7" s="99">
        <f>149+D7</f>
        <v>161</v>
      </c>
      <c r="DN7" s="99"/>
      <c r="DO7" s="99"/>
      <c r="DP7" s="99"/>
      <c r="DQ7" s="99">
        <f>142+D7</f>
        <v>154</v>
      </c>
      <c r="DR7" s="99">
        <f>157+D7</f>
        <v>169</v>
      </c>
      <c r="DS7" s="99">
        <f>164+D7</f>
        <v>176</v>
      </c>
      <c r="DT7" s="99">
        <f>124+D7</f>
        <v>136</v>
      </c>
      <c r="DU7" s="99">
        <f>134+D7</f>
        <v>146</v>
      </c>
      <c r="DV7" s="99">
        <f>134+D7</f>
        <v>146</v>
      </c>
      <c r="DW7" s="99"/>
      <c r="DX7" s="99"/>
      <c r="DY7" s="99"/>
      <c r="DZ7" s="99"/>
      <c r="EA7" s="99"/>
      <c r="EB7" s="99"/>
      <c r="EC7" s="99"/>
      <c r="ED7" s="99"/>
      <c r="EE7" s="99"/>
      <c r="EF7" s="99">
        <f>157+D7</f>
        <v>169</v>
      </c>
      <c r="EG7" s="99">
        <f>144+D7</f>
        <v>156</v>
      </c>
      <c r="EH7" s="99">
        <f>170+D7</f>
        <v>182</v>
      </c>
      <c r="EI7" s="99">
        <f>196+D7</f>
        <v>208</v>
      </c>
      <c r="EJ7" s="99">
        <f>154+D7</f>
        <v>166</v>
      </c>
      <c r="EK7" s="99">
        <f>130+D7</f>
        <v>142</v>
      </c>
      <c r="EL7" s="99">
        <f>135+D5</f>
        <v>147</v>
      </c>
      <c r="EM7" s="99">
        <f>155+D7</f>
        <v>167</v>
      </c>
      <c r="EN7" s="99">
        <f>172+D7</f>
        <v>184</v>
      </c>
      <c r="EO7" s="99">
        <f>185+D7</f>
        <v>197</v>
      </c>
      <c r="EP7" s="99">
        <f>116+D7</f>
        <v>128</v>
      </c>
      <c r="EQ7" s="99">
        <f>142+D7</f>
        <v>154</v>
      </c>
      <c r="ER7" s="99">
        <f>155+D7</f>
        <v>167</v>
      </c>
      <c r="ES7" s="99">
        <f>152+D7</f>
        <v>164</v>
      </c>
      <c r="ET7" s="99">
        <f>159+D7</f>
        <v>171</v>
      </c>
      <c r="EU7" s="99"/>
      <c r="EV7" s="266" t="str">
        <f>A7</f>
        <v>손하은</v>
      </c>
      <c r="EW7" s="144">
        <f>IFERROR(SUM(ER7:ET7)/3,0)</f>
        <v>167.33333333333334</v>
      </c>
      <c r="EX7" s="266" t="str">
        <f>A7</f>
        <v>손하은</v>
      </c>
      <c r="EY7" s="144">
        <f>IFERROR(IF(COUNT($E7:EU7)&gt;20,(SUM( INDEX((($E7:EU7&lt;&gt;"")*COLUMN($E7:EU7)&lt;= LARGE(INDEX(($E7:EU7&lt;&gt;"")*COLUMN($E7:EU7),),1))*$E7:EU7,)) - SUM(INDEX((($E7:EU7&lt;&gt;"")*COLUMN($E7:EU7)&lt; LARGE(INDEX(($E7:EU7&lt;&gt;"")*COLUMN($E7:EU7),),20))*$E7:EU7,)))/20,SUM($E7:EU7)/COUNT($E7:EU7)),0)</f>
        <v>163.75</v>
      </c>
      <c r="EZ7" s="144">
        <f>IFERROR(IF(COUNT($E7:EU7)&gt;10,(SUM( INDEX((($E7:EU7&lt;&gt;"")*COLUMN($E7:EU7)&lt;= LARGE(INDEX(($E7:EU7&lt;&gt;"")*COLUMN($E7:EU7),),1))*$E7:EU7,)) - SUM(INDEX((($E7:EU7&lt;&gt;"")*COLUMN($E7:EU7)&lt; LARGE(INDEX(($E7:EU7&lt;&gt;"")*COLUMN($E7:EU7),),10))*$E7:EU7,)))/10,SUM($E7:EU7)/COUNT($E7:EU7)),0)</f>
        <v>162.1</v>
      </c>
      <c r="FA7" s="348">
        <f>EZ7-EY7</f>
        <v>-1.6500000000000057</v>
      </c>
      <c r="FB7" s="163">
        <f>MAX(EX7:EX7)</f>
        <v>0</v>
      </c>
      <c r="FC7" s="361" t="s">
        <v>345</v>
      </c>
    </row>
    <row r="8" spans="1:16384" ht="20.100000000000001" customHeight="1">
      <c r="A8" s="55" t="s">
        <v>59</v>
      </c>
      <c r="B8" s="55" t="s">
        <v>191</v>
      </c>
      <c r="C8" s="55" t="s">
        <v>156</v>
      </c>
      <c r="D8" s="18"/>
      <c r="E8" s="18"/>
      <c r="F8" s="18"/>
      <c r="G8" s="18"/>
      <c r="H8" s="18">
        <v>192</v>
      </c>
      <c r="I8" s="18">
        <v>136</v>
      </c>
      <c r="J8" s="18">
        <v>196</v>
      </c>
      <c r="K8" s="18">
        <v>166</v>
      </c>
      <c r="L8" s="18">
        <v>140</v>
      </c>
      <c r="M8" s="18">
        <v>197</v>
      </c>
      <c r="N8" s="18">
        <v>140</v>
      </c>
      <c r="O8" s="18">
        <v>156</v>
      </c>
      <c r="P8" s="18">
        <v>198</v>
      </c>
      <c r="Q8" s="18">
        <v>168</v>
      </c>
      <c r="R8" s="5"/>
      <c r="S8" s="18">
        <v>164</v>
      </c>
      <c r="T8" s="20">
        <v>225</v>
      </c>
      <c r="U8" s="18">
        <v>169</v>
      </c>
      <c r="V8" s="18">
        <v>154</v>
      </c>
      <c r="W8" s="18">
        <v>149</v>
      </c>
      <c r="X8" s="18">
        <v>136</v>
      </c>
      <c r="Y8" s="18">
        <v>175</v>
      </c>
      <c r="Z8" s="18">
        <v>150</v>
      </c>
      <c r="AA8" s="18">
        <v>154</v>
      </c>
      <c r="AB8" s="18">
        <v>148</v>
      </c>
      <c r="AC8" s="18">
        <v>160</v>
      </c>
      <c r="AD8" s="18">
        <v>116</v>
      </c>
      <c r="AE8" s="18">
        <v>138</v>
      </c>
      <c r="AF8" s="58"/>
      <c r="AG8" s="58"/>
      <c r="AH8" s="58"/>
      <c r="AI8" s="20">
        <v>203</v>
      </c>
      <c r="AJ8" s="18">
        <v>186</v>
      </c>
      <c r="AK8" s="18">
        <v>166</v>
      </c>
      <c r="AL8" s="18"/>
      <c r="AM8" s="18"/>
      <c r="AN8" s="18"/>
      <c r="AO8" s="18">
        <v>198</v>
      </c>
      <c r="AP8" s="18">
        <v>187</v>
      </c>
      <c r="AQ8" s="18">
        <v>168</v>
      </c>
      <c r="AR8" s="28">
        <v>191</v>
      </c>
      <c r="AS8" s="28">
        <v>164</v>
      </c>
      <c r="AT8" s="28">
        <v>224</v>
      </c>
      <c r="AU8" s="18">
        <v>203</v>
      </c>
      <c r="AV8" s="18">
        <v>165</v>
      </c>
      <c r="AW8" s="18">
        <v>153</v>
      </c>
      <c r="AX8" s="18">
        <v>161</v>
      </c>
      <c r="AY8" s="18">
        <v>152</v>
      </c>
      <c r="AZ8" s="18">
        <v>195</v>
      </c>
      <c r="BA8" s="18">
        <v>185</v>
      </c>
      <c r="BB8" s="18">
        <v>178</v>
      </c>
      <c r="BC8" s="5"/>
      <c r="BD8" s="18">
        <v>177</v>
      </c>
      <c r="BE8" s="18">
        <v>161</v>
      </c>
      <c r="BF8" s="18">
        <v>182</v>
      </c>
      <c r="BG8" s="18">
        <v>162</v>
      </c>
      <c r="BH8" s="18">
        <v>162</v>
      </c>
      <c r="BI8" s="18">
        <v>188</v>
      </c>
      <c r="BJ8" s="18">
        <v>158</v>
      </c>
      <c r="BK8" s="18">
        <v>159</v>
      </c>
      <c r="BL8" s="18">
        <v>136</v>
      </c>
      <c r="BM8" s="18">
        <v>123</v>
      </c>
      <c r="BN8" s="18">
        <v>172</v>
      </c>
      <c r="BO8" s="18">
        <v>170</v>
      </c>
      <c r="BP8" s="18">
        <v>159</v>
      </c>
      <c r="BQ8" s="18">
        <v>144</v>
      </c>
      <c r="BR8" s="18">
        <v>163</v>
      </c>
      <c r="BS8" s="18">
        <v>151</v>
      </c>
      <c r="BT8" s="18">
        <v>155</v>
      </c>
      <c r="BU8" s="18">
        <v>146</v>
      </c>
      <c r="BV8" s="18">
        <v>135</v>
      </c>
      <c r="BW8" s="18">
        <v>178</v>
      </c>
      <c r="BX8" s="18">
        <v>199</v>
      </c>
      <c r="BY8" s="18">
        <v>136</v>
      </c>
      <c r="BZ8" s="18">
        <v>157</v>
      </c>
      <c r="CA8" s="18">
        <v>141</v>
      </c>
      <c r="CB8" s="18">
        <f>170</f>
        <v>170</v>
      </c>
      <c r="CC8" s="18">
        <f>166</f>
        <v>166</v>
      </c>
      <c r="CD8" s="18">
        <f>159</f>
        <v>159</v>
      </c>
      <c r="CE8" s="18">
        <v>149</v>
      </c>
      <c r="CF8" s="18">
        <v>149</v>
      </c>
      <c r="CG8" s="18">
        <v>172</v>
      </c>
      <c r="CH8" s="18">
        <v>146</v>
      </c>
      <c r="CI8" s="18">
        <v>161</v>
      </c>
      <c r="CJ8" s="18">
        <v>152</v>
      </c>
      <c r="CK8" s="18">
        <v>190</v>
      </c>
      <c r="CL8" s="18">
        <v>179</v>
      </c>
      <c r="CM8" s="18">
        <v>171</v>
      </c>
      <c r="CN8" s="18">
        <v>143</v>
      </c>
      <c r="CO8" s="18">
        <v>142</v>
      </c>
      <c r="CP8" s="18">
        <v>145</v>
      </c>
      <c r="CQ8" s="18">
        <v>159</v>
      </c>
      <c r="CR8" s="18">
        <v>139</v>
      </c>
      <c r="CS8" s="18">
        <v>146</v>
      </c>
      <c r="CT8" s="18"/>
      <c r="CU8" s="18"/>
      <c r="CV8" s="18"/>
      <c r="CW8" s="18">
        <v>138</v>
      </c>
      <c r="CX8" s="18">
        <v>183</v>
      </c>
      <c r="CY8" s="18">
        <v>136</v>
      </c>
      <c r="CZ8" s="18"/>
      <c r="DA8" s="18"/>
      <c r="DB8" s="18">
        <v>153</v>
      </c>
      <c r="DC8" s="18">
        <v>165</v>
      </c>
      <c r="DD8" s="18">
        <v>170</v>
      </c>
      <c r="DE8" s="18">
        <v>144</v>
      </c>
      <c r="DF8" s="18">
        <v>161</v>
      </c>
      <c r="DG8" s="18">
        <v>124</v>
      </c>
      <c r="DH8" s="336">
        <v>190</v>
      </c>
      <c r="DI8" s="18">
        <v>145</v>
      </c>
      <c r="DJ8" s="18">
        <v>150</v>
      </c>
      <c r="DK8" s="18">
        <v>147</v>
      </c>
      <c r="DL8" s="18">
        <v>156</v>
      </c>
      <c r="DM8" s="18">
        <v>176</v>
      </c>
      <c r="DN8" s="18">
        <v>173</v>
      </c>
      <c r="DO8" s="18">
        <v>197</v>
      </c>
      <c r="DP8" s="18">
        <v>194</v>
      </c>
      <c r="DQ8" s="18">
        <v>174</v>
      </c>
      <c r="DR8" s="18">
        <v>145</v>
      </c>
      <c r="DS8" s="18">
        <v>160</v>
      </c>
      <c r="DT8" s="18">
        <v>182</v>
      </c>
      <c r="DU8" s="18">
        <v>131</v>
      </c>
      <c r="DV8" s="18">
        <v>201</v>
      </c>
      <c r="DW8" s="18">
        <v>144</v>
      </c>
      <c r="DX8" s="18">
        <v>136</v>
      </c>
      <c r="DY8" s="18">
        <v>145</v>
      </c>
      <c r="DZ8" s="18">
        <f>157</f>
        <v>157</v>
      </c>
      <c r="EA8" s="18">
        <v>161</v>
      </c>
      <c r="EB8" s="18">
        <v>176</v>
      </c>
      <c r="EC8" s="18">
        <v>166</v>
      </c>
      <c r="ED8" s="18">
        <v>165</v>
      </c>
      <c r="EE8" s="18">
        <v>127</v>
      </c>
      <c r="EF8" s="18">
        <v>171</v>
      </c>
      <c r="EG8" s="18">
        <v>118</v>
      </c>
      <c r="EH8" s="18">
        <v>215</v>
      </c>
      <c r="EI8" s="18">
        <v>126</v>
      </c>
      <c r="EJ8" s="18">
        <v>157</v>
      </c>
      <c r="EK8" s="18">
        <v>158</v>
      </c>
      <c r="EL8" s="18">
        <v>147</v>
      </c>
      <c r="EM8" s="18">
        <v>119</v>
      </c>
      <c r="EN8" s="18">
        <v>184</v>
      </c>
      <c r="EO8" s="18">
        <v>165</v>
      </c>
      <c r="EP8" s="18">
        <v>147</v>
      </c>
      <c r="EQ8" s="18">
        <v>169</v>
      </c>
      <c r="ER8" s="18">
        <v>150</v>
      </c>
      <c r="ES8" s="18">
        <v>183</v>
      </c>
      <c r="ET8" s="18">
        <v>159</v>
      </c>
      <c r="EU8" s="18"/>
      <c r="EV8" s="266" t="str">
        <f>A8</f>
        <v>박용승</v>
      </c>
      <c r="EW8" s="144">
        <f>IFERROR(SUM(ER8:ET8)/3,0)</f>
        <v>164</v>
      </c>
      <c r="EX8" s="266" t="str">
        <f>A8</f>
        <v>박용승</v>
      </c>
      <c r="EY8" s="144">
        <f>IFERROR(IF(COUNT($E8:EU8)&gt;20,(SUM( INDEX((($E8:EU8&lt;&gt;"")*COLUMN($E8:EU8)&lt;= LARGE(INDEX(($E8:EU8&lt;&gt;"")*COLUMN($E8:EU8),),1))*$E8:EU8,)) - SUM(INDEX((($E8:EU8&lt;&gt;"")*COLUMN($E8:EU8)&lt; LARGE(INDEX(($E8:EU8&lt;&gt;"")*COLUMN($E8:EU8),),20))*$E8:EU8,)))/20,SUM($E8:EU8)/COUNT($E8:EU8)),0)</f>
        <v>158.15</v>
      </c>
      <c r="EZ8" s="144">
        <f>IFERROR(IF(COUNT($E8:EU8)&gt;10,(SUM( INDEX((($E8:EU8&lt;&gt;"")*COLUMN($E8:EU8)&lt;= LARGE(INDEX(($E8:EU8&lt;&gt;"")*COLUMN($E8:EU8),),1))*$E8:EU8,)) - SUM(INDEX((($E8:EU8&lt;&gt;"")*COLUMN($E8:EU8)&lt; LARGE(INDEX(($E8:EU8&lt;&gt;"")*COLUMN($E8:EU8),),10))*$E8:EU8,)))/10,SUM($E8:EU8)/COUNT($E8:EU8)),0)</f>
        <v>158.1</v>
      </c>
      <c r="FA8" s="348">
        <f>EZ8-EY8</f>
        <v>-5.0000000000011369E-2</v>
      </c>
      <c r="FB8" s="163">
        <f>MAX(EX8:EX8)</f>
        <v>0</v>
      </c>
      <c r="FC8" s="361" t="s">
        <v>345</v>
      </c>
    </row>
    <row r="9" spans="1:16384" ht="20.100000000000001" customHeight="1">
      <c r="A9" s="55" t="s">
        <v>60</v>
      </c>
      <c r="B9" s="55" t="s">
        <v>191</v>
      </c>
      <c r="C9" s="55" t="s">
        <v>156</v>
      </c>
      <c r="D9" s="18"/>
      <c r="E9" s="18"/>
      <c r="F9" s="18"/>
      <c r="G9" s="18"/>
      <c r="H9" s="18"/>
      <c r="I9" s="18"/>
      <c r="J9" s="18"/>
      <c r="K9" s="18"/>
      <c r="L9" s="18"/>
      <c r="M9" s="18">
        <v>133</v>
      </c>
      <c r="N9" s="18">
        <v>133</v>
      </c>
      <c r="O9" s="18">
        <v>153</v>
      </c>
      <c r="P9" s="18">
        <v>145</v>
      </c>
      <c r="Q9" s="18">
        <v>173</v>
      </c>
      <c r="R9" s="5"/>
      <c r="S9" s="18">
        <v>140</v>
      </c>
      <c r="T9" s="18">
        <v>136</v>
      </c>
      <c r="U9" s="18">
        <v>155</v>
      </c>
      <c r="V9" s="18">
        <v>155</v>
      </c>
      <c r="W9" s="18">
        <v>107</v>
      </c>
      <c r="X9" s="18">
        <v>125</v>
      </c>
      <c r="Y9" s="18">
        <v>119</v>
      </c>
      <c r="Z9" s="18">
        <v>161</v>
      </c>
      <c r="AA9" s="18">
        <v>188</v>
      </c>
      <c r="AB9" s="18">
        <v>187</v>
      </c>
      <c r="AC9" s="18">
        <v>153</v>
      </c>
      <c r="AD9" s="18">
        <v>115</v>
      </c>
      <c r="AE9" s="18">
        <v>147</v>
      </c>
      <c r="AF9" s="58">
        <v>157</v>
      </c>
      <c r="AG9" s="58">
        <v>143</v>
      </c>
      <c r="AH9" s="58">
        <v>167</v>
      </c>
      <c r="AI9" s="18">
        <v>192</v>
      </c>
      <c r="AJ9" s="18">
        <v>152</v>
      </c>
      <c r="AK9" s="18">
        <v>172</v>
      </c>
      <c r="AL9" s="18">
        <v>161</v>
      </c>
      <c r="AM9" s="18">
        <v>168</v>
      </c>
      <c r="AN9" s="18">
        <v>173</v>
      </c>
      <c r="AO9" s="18">
        <v>149</v>
      </c>
      <c r="AP9" s="18">
        <v>137</v>
      </c>
      <c r="AQ9" s="18">
        <v>115</v>
      </c>
      <c r="AR9" s="28">
        <v>156</v>
      </c>
      <c r="AS9" s="28">
        <v>127</v>
      </c>
      <c r="AT9" s="28">
        <v>148</v>
      </c>
      <c r="AU9" s="64">
        <v>194</v>
      </c>
      <c r="AV9" s="18">
        <v>168</v>
      </c>
      <c r="AW9" s="18">
        <v>160</v>
      </c>
      <c r="AX9" s="18">
        <v>125</v>
      </c>
      <c r="AY9" s="18">
        <v>151</v>
      </c>
      <c r="AZ9" s="18">
        <v>185</v>
      </c>
      <c r="BA9" s="18">
        <v>178</v>
      </c>
      <c r="BB9" s="18">
        <v>153</v>
      </c>
      <c r="BC9" s="5"/>
      <c r="BD9" s="18"/>
      <c r="BE9" s="18"/>
      <c r="BF9" s="18"/>
      <c r="BG9" s="18">
        <v>166</v>
      </c>
      <c r="BH9" s="18">
        <v>195</v>
      </c>
      <c r="BI9" s="18">
        <v>225</v>
      </c>
      <c r="BJ9" s="18">
        <v>151</v>
      </c>
      <c r="BK9" s="18">
        <v>173</v>
      </c>
      <c r="BL9" s="18">
        <v>201</v>
      </c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>
        <v>127</v>
      </c>
      <c r="CC9" s="18">
        <v>181</v>
      </c>
      <c r="CD9" s="18">
        <v>124</v>
      </c>
      <c r="CE9" s="18">
        <v>180</v>
      </c>
      <c r="CF9" s="18">
        <v>198</v>
      </c>
      <c r="CG9" s="18">
        <v>163</v>
      </c>
      <c r="CH9" s="18">
        <v>189</v>
      </c>
      <c r="CI9" s="18">
        <v>162</v>
      </c>
      <c r="CJ9" s="18">
        <v>161</v>
      </c>
      <c r="CK9" s="18">
        <v>193</v>
      </c>
      <c r="CL9" s="18">
        <v>136</v>
      </c>
      <c r="CM9" s="18">
        <v>178</v>
      </c>
      <c r="CN9" s="18">
        <v>189</v>
      </c>
      <c r="CO9" s="18">
        <v>179</v>
      </c>
      <c r="CP9" s="18">
        <v>161</v>
      </c>
      <c r="CQ9" s="18">
        <v>138</v>
      </c>
      <c r="CR9" s="18">
        <v>167</v>
      </c>
      <c r="CS9" s="18">
        <v>187</v>
      </c>
      <c r="CT9" s="18">
        <v>164</v>
      </c>
      <c r="CU9" s="18">
        <v>131</v>
      </c>
      <c r="CV9" s="18">
        <v>140</v>
      </c>
      <c r="CW9" s="18">
        <v>136</v>
      </c>
      <c r="CX9" s="18">
        <v>201</v>
      </c>
      <c r="CY9" s="18">
        <v>221</v>
      </c>
      <c r="CZ9" s="18"/>
      <c r="DA9" s="18"/>
      <c r="DB9" s="18">
        <v>200</v>
      </c>
      <c r="DC9" s="18">
        <v>167</v>
      </c>
      <c r="DD9" s="18">
        <v>173</v>
      </c>
      <c r="DE9" s="18">
        <v>130</v>
      </c>
      <c r="DF9" s="18">
        <v>130</v>
      </c>
      <c r="DG9" s="18">
        <v>154</v>
      </c>
      <c r="DH9" s="18">
        <v>210</v>
      </c>
      <c r="DI9" s="18">
        <v>146</v>
      </c>
      <c r="DJ9" s="18">
        <v>147</v>
      </c>
      <c r="DK9" s="18">
        <v>126</v>
      </c>
      <c r="DL9" s="18">
        <v>149</v>
      </c>
      <c r="DM9" s="18">
        <v>144</v>
      </c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>
        <v>135</v>
      </c>
      <c r="EG9" s="18">
        <v>247</v>
      </c>
      <c r="EH9" s="18">
        <v>110</v>
      </c>
      <c r="EI9" s="18">
        <v>167</v>
      </c>
      <c r="EJ9" s="18">
        <v>164</v>
      </c>
      <c r="EK9" s="18">
        <v>172</v>
      </c>
      <c r="EL9" s="18"/>
      <c r="EM9" s="18"/>
      <c r="EN9" s="18"/>
      <c r="EO9" s="18"/>
      <c r="EP9" s="18"/>
      <c r="EQ9" s="18"/>
      <c r="ER9" s="18">
        <v>200</v>
      </c>
      <c r="ES9" s="18">
        <v>145</v>
      </c>
      <c r="ET9" s="18">
        <v>128</v>
      </c>
      <c r="EU9" s="18"/>
      <c r="EV9" s="266" t="str">
        <f>A9</f>
        <v>백동민</v>
      </c>
      <c r="EW9" s="144">
        <f>IFERROR(SUM(ER9:ET9)/3,0)</f>
        <v>157.66666666666666</v>
      </c>
      <c r="EX9" s="266" t="str">
        <f>A9</f>
        <v>백동민</v>
      </c>
      <c r="EY9" s="144">
        <f>IFERROR(IF(COUNT($E9:EU9)&gt;20,(SUM( INDEX((($E9:EU9&lt;&gt;"")*COLUMN($E9:EU9)&lt;= LARGE(INDEX(($E9:EU9&lt;&gt;"")*COLUMN($E9:EU9),),1))*$E9:EU9,)) - SUM(INDEX((($E9:EU9&lt;&gt;"")*COLUMN($E9:EU9)&lt; LARGE(INDEX(($E9:EU9&lt;&gt;"")*COLUMN($E9:EU9),),20))*$E9:EU9,)))/20,SUM($E9:EU9)/COUNT($E9:EU9)),0)</f>
        <v>157.19999999999999</v>
      </c>
      <c r="EZ9" s="144">
        <f>IFERROR(IF(COUNT($E9:EU9)&gt;10,(SUM( INDEX((($E9:EU9&lt;&gt;"")*COLUMN($E9:EU9)&lt;= LARGE(INDEX(($E9:EU9&lt;&gt;"")*COLUMN($E9:EU9),),1))*$E9:EU9,)) - SUM(INDEX((($E9:EU9&lt;&gt;"")*COLUMN($E9:EU9)&lt; LARGE(INDEX(($E9:EU9&lt;&gt;"")*COLUMN($E9:EU9),),10))*$E9:EU9,)))/10,SUM($E9:EU9)/COUNT($E9:EU9)),0)</f>
        <v>161.19999999999999</v>
      </c>
      <c r="FA9" s="348">
        <f>EZ9-EY9</f>
        <v>4</v>
      </c>
      <c r="FB9" s="163">
        <f>MAX(EX9:EX9)</f>
        <v>0</v>
      </c>
      <c r="FC9" s="361" t="s">
        <v>477</v>
      </c>
      <c r="FF9" t="s">
        <v>358</v>
      </c>
    </row>
    <row r="10" spans="1:16384" ht="19.5" customHeight="1">
      <c r="A10" s="55" t="s">
        <v>401</v>
      </c>
      <c r="B10" s="55" t="s">
        <v>191</v>
      </c>
      <c r="C10" s="55" t="s">
        <v>156</v>
      </c>
      <c r="D10" s="18"/>
      <c r="E10" s="18">
        <v>132</v>
      </c>
      <c r="F10" s="18">
        <v>135</v>
      </c>
      <c r="G10" s="18">
        <v>143</v>
      </c>
      <c r="H10" s="18"/>
      <c r="I10" s="18"/>
      <c r="J10" s="18"/>
      <c r="K10" s="18"/>
      <c r="L10" s="18"/>
      <c r="M10" s="18"/>
      <c r="N10" s="18"/>
      <c r="O10" s="18"/>
      <c r="P10" s="18">
        <v>169</v>
      </c>
      <c r="Q10" s="18">
        <v>136</v>
      </c>
      <c r="R10" s="5"/>
      <c r="S10" s="13">
        <v>184</v>
      </c>
      <c r="T10" s="13">
        <v>139</v>
      </c>
      <c r="U10" s="13">
        <v>152</v>
      </c>
      <c r="V10" s="18">
        <v>78</v>
      </c>
      <c r="W10" s="18">
        <v>195</v>
      </c>
      <c r="X10" s="18">
        <v>119</v>
      </c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5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>
        <v>178</v>
      </c>
      <c r="DU10" s="18">
        <v>131</v>
      </c>
      <c r="DV10" s="18">
        <v>105</v>
      </c>
      <c r="DW10" s="18">
        <v>124</v>
      </c>
      <c r="DX10" s="18">
        <v>118</v>
      </c>
      <c r="DY10" s="18">
        <v>122</v>
      </c>
      <c r="DZ10" s="18"/>
      <c r="EA10" s="18"/>
      <c r="EB10" s="18"/>
      <c r="EC10" s="18">
        <v>129</v>
      </c>
      <c r="ED10" s="18">
        <v>115</v>
      </c>
      <c r="EE10" s="18">
        <v>132</v>
      </c>
      <c r="EF10" s="18">
        <v>150</v>
      </c>
      <c r="EG10" s="18">
        <v>145</v>
      </c>
      <c r="EH10" s="18">
        <v>169</v>
      </c>
      <c r="EI10" s="18">
        <v>134</v>
      </c>
      <c r="EJ10" s="18">
        <v>115</v>
      </c>
      <c r="EK10" s="18">
        <v>182</v>
      </c>
      <c r="EL10" s="18">
        <v>118</v>
      </c>
      <c r="EM10" s="18">
        <v>117</v>
      </c>
      <c r="EN10" s="18">
        <v>98</v>
      </c>
      <c r="EO10" s="18">
        <v>157</v>
      </c>
      <c r="EP10" s="18">
        <v>127</v>
      </c>
      <c r="EQ10" s="18">
        <v>157</v>
      </c>
      <c r="ER10" s="18">
        <v>162</v>
      </c>
      <c r="ES10" s="18">
        <v>140</v>
      </c>
      <c r="ET10" s="18">
        <v>152</v>
      </c>
      <c r="EU10" s="18"/>
      <c r="EV10" s="266" t="str">
        <f>A10</f>
        <v>남준석</v>
      </c>
      <c r="EW10" s="144">
        <f>IFERROR(SUM(ER10:ET10)/3,0)</f>
        <v>151.33333333333334</v>
      </c>
      <c r="EX10" s="266" t="str">
        <f>A10</f>
        <v>남준석</v>
      </c>
      <c r="EY10" s="144">
        <f>IFERROR(IF(COUNT($E10:EU10)&gt;20,(SUM( INDEX((($E10:EU10&lt;&gt;"")*COLUMN($E10:EU10)&lt;= LARGE(INDEX(($E10:EU10&lt;&gt;"")*COLUMN($E10:EU10),),1))*$E10:EU10,)) - SUM(INDEX((($E10:EU10&lt;&gt;"")*COLUMN($E10:EU10)&lt; LARGE(INDEX(($E10:EU10&lt;&gt;"")*COLUMN($E10:EU10),),20))*$E10:EU10,)))/20,SUM($E10:EU10)/COUNT($E10:EU10)),0)</f>
        <v>136.94999999999999</v>
      </c>
      <c r="EZ10" s="144">
        <f>IFERROR(IF(COUNT($E10:EU10)&gt;10,(SUM( INDEX((($E10:EU10&lt;&gt;"")*COLUMN($E10:EU10)&lt;= LARGE(INDEX(($E10:EU10&lt;&gt;"")*COLUMN($E10:EU10),),1))*$E10:EU10,)) - SUM(INDEX((($E10:EU10&lt;&gt;"")*COLUMN($E10:EU10)&lt; LARGE(INDEX(($E10:EU10&lt;&gt;"")*COLUMN($E10:EU10),),10))*$E10:EU10,)))/10,SUM($E10:EU10)/COUNT($E10:EU10)),0)</f>
        <v>141</v>
      </c>
      <c r="FA10" s="348">
        <f>EZ10-EY10</f>
        <v>4.0500000000000114</v>
      </c>
      <c r="FC10" s="159" t="s">
        <v>345</v>
      </c>
    </row>
    <row r="11" spans="1:16384" ht="20.100000000000001" customHeight="1">
      <c r="A11" s="55" t="s">
        <v>75</v>
      </c>
      <c r="B11" s="55" t="s">
        <v>191</v>
      </c>
      <c r="C11" s="55" t="s">
        <v>156</v>
      </c>
      <c r="D11" s="18"/>
      <c r="E11" s="18">
        <v>151</v>
      </c>
      <c r="F11" s="18">
        <v>167</v>
      </c>
      <c r="G11" s="18">
        <v>194</v>
      </c>
      <c r="H11" s="18">
        <v>153</v>
      </c>
      <c r="I11" s="18">
        <v>164</v>
      </c>
      <c r="J11" s="18">
        <v>153</v>
      </c>
      <c r="K11" s="18">
        <v>163</v>
      </c>
      <c r="L11" s="18">
        <v>138</v>
      </c>
      <c r="M11" s="18"/>
      <c r="N11" s="18"/>
      <c r="O11" s="18"/>
      <c r="P11" s="21">
        <v>234</v>
      </c>
      <c r="Q11" s="18">
        <v>191</v>
      </c>
      <c r="R11" s="5"/>
      <c r="S11" s="18">
        <v>158</v>
      </c>
      <c r="T11" s="18">
        <v>141</v>
      </c>
      <c r="U11" s="18">
        <v>169</v>
      </c>
      <c r="V11" s="18">
        <v>152</v>
      </c>
      <c r="W11" s="18">
        <v>158</v>
      </c>
      <c r="X11" s="18">
        <v>126</v>
      </c>
      <c r="Y11" s="18">
        <v>149</v>
      </c>
      <c r="Z11" s="18">
        <v>192</v>
      </c>
      <c r="AA11" s="18">
        <v>152</v>
      </c>
      <c r="AB11" s="18">
        <v>146</v>
      </c>
      <c r="AC11" s="18">
        <v>196</v>
      </c>
      <c r="AD11" s="18">
        <v>166</v>
      </c>
      <c r="AE11" s="18">
        <v>156</v>
      </c>
      <c r="AF11" s="58">
        <v>194</v>
      </c>
      <c r="AG11" s="58">
        <v>173</v>
      </c>
      <c r="AH11" s="58">
        <v>144</v>
      </c>
      <c r="AI11" s="18"/>
      <c r="AJ11" s="18"/>
      <c r="AK11" s="18"/>
      <c r="AL11" s="18">
        <v>177</v>
      </c>
      <c r="AM11" s="18">
        <v>192</v>
      </c>
      <c r="AN11" s="18">
        <v>178</v>
      </c>
      <c r="AO11" s="18">
        <v>158</v>
      </c>
      <c r="AP11" s="18">
        <v>222</v>
      </c>
      <c r="AQ11" s="18">
        <v>152</v>
      </c>
      <c r="AR11" s="28">
        <v>148</v>
      </c>
      <c r="AS11" s="28">
        <v>156</v>
      </c>
      <c r="AT11" s="28">
        <v>153</v>
      </c>
      <c r="AU11" s="18">
        <v>124</v>
      </c>
      <c r="AV11" s="18">
        <v>145</v>
      </c>
      <c r="AW11" s="18">
        <v>207</v>
      </c>
      <c r="AX11" s="18">
        <v>235</v>
      </c>
      <c r="AY11" s="18">
        <v>175</v>
      </c>
      <c r="AZ11" s="18">
        <v>170</v>
      </c>
      <c r="BA11" s="18"/>
      <c r="BB11" s="18"/>
      <c r="BC11" s="5"/>
      <c r="BD11" s="18">
        <v>139</v>
      </c>
      <c r="BE11" s="18">
        <v>186</v>
      </c>
      <c r="BF11" s="18">
        <v>152</v>
      </c>
      <c r="BG11" s="18">
        <v>164</v>
      </c>
      <c r="BH11" s="18">
        <v>157</v>
      </c>
      <c r="BI11" s="18">
        <v>139</v>
      </c>
      <c r="BJ11" s="18">
        <v>180</v>
      </c>
      <c r="BK11" s="18">
        <v>146</v>
      </c>
      <c r="BL11" s="18">
        <v>143</v>
      </c>
      <c r="BM11" s="18">
        <v>126</v>
      </c>
      <c r="BN11" s="18">
        <v>159</v>
      </c>
      <c r="BO11" s="18">
        <v>196</v>
      </c>
      <c r="BP11" s="18">
        <v>167</v>
      </c>
      <c r="BQ11" s="18">
        <v>165</v>
      </c>
      <c r="BR11" s="18">
        <v>225</v>
      </c>
      <c r="BS11" s="18">
        <v>134</v>
      </c>
      <c r="BT11" s="18">
        <v>149</v>
      </c>
      <c r="BU11" s="18">
        <v>197</v>
      </c>
      <c r="BV11" s="18">
        <v>160</v>
      </c>
      <c r="BW11" s="18">
        <v>223</v>
      </c>
      <c r="BX11" s="18">
        <v>199</v>
      </c>
      <c r="BY11" s="18">
        <v>144</v>
      </c>
      <c r="BZ11" s="18">
        <v>179</v>
      </c>
      <c r="CA11" s="18">
        <v>162</v>
      </c>
      <c r="CB11" s="18">
        <v>163</v>
      </c>
      <c r="CC11" s="18">
        <v>132</v>
      </c>
      <c r="CD11" s="18">
        <v>167</v>
      </c>
      <c r="CE11" s="18">
        <v>195</v>
      </c>
      <c r="CF11" s="18">
        <v>197</v>
      </c>
      <c r="CG11" s="18">
        <v>137</v>
      </c>
      <c r="CH11" s="18">
        <v>135</v>
      </c>
      <c r="CI11" s="18">
        <v>151</v>
      </c>
      <c r="CJ11" s="18">
        <v>137</v>
      </c>
      <c r="CK11" s="18">
        <v>140</v>
      </c>
      <c r="CL11" s="18">
        <v>172</v>
      </c>
      <c r="CM11" s="336">
        <v>257</v>
      </c>
      <c r="CN11" s="18">
        <v>203</v>
      </c>
      <c r="CO11" s="18">
        <v>176</v>
      </c>
      <c r="CP11" s="18">
        <v>150</v>
      </c>
      <c r="CQ11" s="18"/>
      <c r="CR11" s="18"/>
      <c r="CS11" s="18"/>
      <c r="CT11" s="18">
        <v>203</v>
      </c>
      <c r="CU11" s="18">
        <v>193</v>
      </c>
      <c r="CV11" s="18">
        <v>143</v>
      </c>
      <c r="CW11" s="18">
        <v>161</v>
      </c>
      <c r="CX11" s="18">
        <v>183</v>
      </c>
      <c r="CY11" s="18">
        <v>144</v>
      </c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>
        <v>205</v>
      </c>
      <c r="DL11" s="18">
        <v>138</v>
      </c>
      <c r="DM11" s="18">
        <v>140</v>
      </c>
      <c r="DN11" s="18"/>
      <c r="DO11" s="18"/>
      <c r="DP11" s="18"/>
      <c r="DQ11" s="18">
        <v>200</v>
      </c>
      <c r="DR11" s="18">
        <v>138</v>
      </c>
      <c r="DS11" s="18">
        <v>158</v>
      </c>
      <c r="DT11" s="18">
        <f>166</f>
        <v>166</v>
      </c>
      <c r="DU11" s="18">
        <v>167</v>
      </c>
      <c r="DV11" s="18">
        <v>135</v>
      </c>
      <c r="DW11" s="18"/>
      <c r="DX11" s="18"/>
      <c r="DY11" s="18"/>
      <c r="DZ11" s="18">
        <v>206</v>
      </c>
      <c r="EA11" s="18">
        <v>165</v>
      </c>
      <c r="EB11" s="18">
        <v>157</v>
      </c>
      <c r="EC11" s="18">
        <v>138</v>
      </c>
      <c r="ED11" s="18">
        <v>181</v>
      </c>
      <c r="EE11" s="18">
        <v>223</v>
      </c>
      <c r="EF11" s="18">
        <v>181</v>
      </c>
      <c r="EG11" s="18">
        <v>122</v>
      </c>
      <c r="EH11" s="18">
        <v>107</v>
      </c>
      <c r="EI11" s="18">
        <v>142</v>
      </c>
      <c r="EJ11" s="18">
        <v>134</v>
      </c>
      <c r="EK11" s="18">
        <v>128</v>
      </c>
      <c r="EL11" s="18">
        <v>166</v>
      </c>
      <c r="EM11" s="18">
        <v>211</v>
      </c>
      <c r="EN11" s="18">
        <v>134</v>
      </c>
      <c r="EO11" s="18">
        <v>181</v>
      </c>
      <c r="EP11" s="18">
        <v>148</v>
      </c>
      <c r="EQ11" s="18">
        <v>188</v>
      </c>
      <c r="ER11" s="18">
        <v>135</v>
      </c>
      <c r="ES11" s="18">
        <v>167</v>
      </c>
      <c r="ET11" s="18">
        <v>134</v>
      </c>
      <c r="EU11" s="18"/>
      <c r="EV11" s="266" t="str">
        <f>A11</f>
        <v>정동현</v>
      </c>
      <c r="EW11" s="144">
        <f>IFERROR(SUM(ER11:ET11)/3,0)</f>
        <v>145.33333333333334</v>
      </c>
      <c r="EX11" s="266" t="str">
        <f>A11</f>
        <v>정동현</v>
      </c>
      <c r="EY11" s="144">
        <f>IFERROR(IF(COUNT($E11:EU11)&gt;20,(SUM( INDEX((($E11:EU11&lt;&gt;"")*COLUMN($E11:EU11)&lt;= LARGE(INDEX(($E11:EU11&lt;&gt;"")*COLUMN($E11:EU11),),1))*$E11:EU11,)) - SUM(INDEX((($E11:EU11&lt;&gt;"")*COLUMN($E11:EU11)&lt; LARGE(INDEX(($E11:EU11&lt;&gt;"")*COLUMN($E11:EU11),),20))*$E11:EU11,)))/20,SUM($E11:EU11)/COUNT($E11:EU11)),0)</f>
        <v>157.1</v>
      </c>
      <c r="EZ11" s="144">
        <f>IFERROR(IF(COUNT($E11:EU11)&gt;10,(SUM( INDEX((($E11:EU11&lt;&gt;"")*COLUMN($E11:EU11)&lt;= LARGE(INDEX(($E11:EU11&lt;&gt;"")*COLUMN($E11:EU11),),1))*$E11:EU11,)) - SUM(INDEX((($E11:EU11&lt;&gt;"")*COLUMN($E11:EU11)&lt; LARGE(INDEX(($E11:EU11&lt;&gt;"")*COLUMN($E11:EU11),),10))*$E11:EU11,)))/10,SUM($E11:EU11)/COUNT($E11:EU11)),0)</f>
        <v>159.19999999999999</v>
      </c>
      <c r="FA11" s="348">
        <f>EZ11-EY11</f>
        <v>2.0999999999999943</v>
      </c>
      <c r="FB11" s="163">
        <f>MAX(EX11:EX11)</f>
        <v>0</v>
      </c>
      <c r="FC11" s="361" t="s">
        <v>345</v>
      </c>
    </row>
    <row r="12" spans="1:16384" ht="20.100000000000001" customHeight="1">
      <c r="A12" s="48" t="s">
        <v>49</v>
      </c>
      <c r="B12" s="48" t="s">
        <v>194</v>
      </c>
      <c r="C12" s="48" t="s">
        <v>156</v>
      </c>
      <c r="D12" s="49">
        <v>10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5"/>
      <c r="S12" s="15"/>
      <c r="T12" s="15"/>
      <c r="U12" s="15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8">
        <v>87</v>
      </c>
      <c r="AP12" s="18">
        <v>86</v>
      </c>
      <c r="AQ12" s="18">
        <v>108</v>
      </c>
      <c r="AR12" s="14"/>
      <c r="AS12" s="14"/>
      <c r="AT12" s="14"/>
      <c r="AU12" s="14"/>
      <c r="AV12" s="14"/>
      <c r="AW12" s="14"/>
      <c r="AX12" s="14">
        <v>109</v>
      </c>
      <c r="AY12" s="14">
        <v>111</v>
      </c>
      <c r="AZ12" s="14">
        <v>114</v>
      </c>
      <c r="BA12" s="14"/>
      <c r="BB12" s="14"/>
      <c r="BC12" s="5"/>
      <c r="BD12" s="14">
        <v>82</v>
      </c>
      <c r="BE12" s="14">
        <v>129</v>
      </c>
      <c r="BF12" s="14">
        <v>86</v>
      </c>
      <c r="BG12" s="14"/>
      <c r="BH12" s="14"/>
      <c r="BI12" s="14"/>
      <c r="BJ12" s="14"/>
      <c r="BK12" s="14"/>
      <c r="BL12" s="14"/>
      <c r="BM12" s="14">
        <v>91</v>
      </c>
      <c r="BN12" s="14">
        <v>145</v>
      </c>
      <c r="BO12" s="14">
        <v>126</v>
      </c>
      <c r="BP12" s="14">
        <f>126+D12</f>
        <v>136</v>
      </c>
      <c r="BQ12" s="14">
        <f>BN12 +D12</f>
        <v>155</v>
      </c>
      <c r="BR12" s="14">
        <f>85+D12</f>
        <v>95</v>
      </c>
      <c r="BS12" s="14">
        <v>105</v>
      </c>
      <c r="BT12" s="14">
        <v>117</v>
      </c>
      <c r="BU12" s="14">
        <v>109</v>
      </c>
      <c r="BV12" s="14"/>
      <c r="BW12" s="14"/>
      <c r="BX12" s="14"/>
      <c r="BY12" s="14"/>
      <c r="BZ12" s="14"/>
      <c r="CA12" s="14"/>
      <c r="CB12" s="14">
        <f>130+D12</f>
        <v>140</v>
      </c>
      <c r="CC12" s="14">
        <f>111+D12</f>
        <v>121</v>
      </c>
      <c r="CD12" s="14">
        <f>85+D12</f>
        <v>95</v>
      </c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>
        <f>113+D12</f>
        <v>123</v>
      </c>
      <c r="DR12" s="14">
        <f>102+D12</f>
        <v>112</v>
      </c>
      <c r="DS12" s="14">
        <f>94+D12</f>
        <v>104</v>
      </c>
      <c r="DT12" s="14">
        <f>76+D12</f>
        <v>86</v>
      </c>
      <c r="DU12" s="14">
        <f>141+D12</f>
        <v>151</v>
      </c>
      <c r="DV12" s="14">
        <f>125+D12</f>
        <v>135</v>
      </c>
      <c r="DW12" s="14">
        <f>126+D12</f>
        <v>136</v>
      </c>
      <c r="DX12" s="14">
        <f>138+D12</f>
        <v>148</v>
      </c>
      <c r="DY12" s="14">
        <f>112+D12</f>
        <v>122</v>
      </c>
      <c r="DZ12" s="14">
        <f>93+D12</f>
        <v>103</v>
      </c>
      <c r="EA12" s="14">
        <f>131+D12</f>
        <v>141</v>
      </c>
      <c r="EB12" s="14">
        <f>89+D12</f>
        <v>99</v>
      </c>
      <c r="EC12" s="14">
        <f>122+D12</f>
        <v>132</v>
      </c>
      <c r="ED12" s="14">
        <f>156+D12</f>
        <v>166</v>
      </c>
      <c r="EE12" s="14">
        <f>169+D12</f>
        <v>179</v>
      </c>
      <c r="EF12" s="14">
        <f>141+D12</f>
        <v>151</v>
      </c>
      <c r="EG12" s="14">
        <f>144+D12</f>
        <v>154</v>
      </c>
      <c r="EH12" s="14">
        <f>128+D12</f>
        <v>138</v>
      </c>
      <c r="EI12" s="14">
        <f>85+D12</f>
        <v>95</v>
      </c>
      <c r="EJ12" s="14">
        <f>138+D12</f>
        <v>148</v>
      </c>
      <c r="EK12" s="14">
        <f>114+D12</f>
        <v>124</v>
      </c>
      <c r="EL12" s="14">
        <f>112+D12</f>
        <v>122</v>
      </c>
      <c r="EM12" s="14">
        <f>82+D12</f>
        <v>92</v>
      </c>
      <c r="EN12" s="14">
        <f>152+D12</f>
        <v>162</v>
      </c>
      <c r="EO12" s="14"/>
      <c r="EP12" s="14"/>
      <c r="EQ12" s="14"/>
      <c r="ER12" s="14">
        <f>104+D12</f>
        <v>114</v>
      </c>
      <c r="ES12" s="14">
        <f>155+D12</f>
        <v>165</v>
      </c>
      <c r="ET12" s="14">
        <f>99+D12</f>
        <v>109</v>
      </c>
      <c r="EU12" s="14"/>
      <c r="EV12" s="14"/>
      <c r="EW12" s="144">
        <f>IFERROR(SUM(ER12:ET12)/3,0)</f>
        <v>129.33333333333334</v>
      </c>
      <c r="EX12" s="338"/>
      <c r="EY12" s="144">
        <f>IFERROR(IF(COUNT($E12:EU12)&gt;20,(SUM( INDEX((($E12:EU12&lt;&gt;"")*COLUMN($E12:EU12)&lt;= LARGE(INDEX(($E12:EU12&lt;&gt;"")*COLUMN($E12:EU12),),1))*$E12:EU12,)) - SUM(INDEX((($E12:EU12&lt;&gt;"")*COLUMN($E12:EU12)&lt; LARGE(INDEX(($E12:EU12&lt;&gt;"")*COLUMN($E12:EU12),),20))*$E12:EU12,)))/20,SUM($E12:EU12)/COUNT($E12:EU12)),0)</f>
        <v>133.19999999999999</v>
      </c>
      <c r="EZ12" s="144">
        <f>IFERROR(IF(COUNT($E12:EU12)&gt;10,(SUM( INDEX((($E12:EU12&lt;&gt;"")*COLUMN($E12:EU12)&lt;= LARGE(INDEX(($E12:EU12&lt;&gt;"")*COLUMN($E12:EU12),),1))*$E12:EU12,)) - SUM(INDEX((($E12:EU12&lt;&gt;"")*COLUMN($E12:EU12)&lt; LARGE(INDEX(($E12:EU12&lt;&gt;"")*COLUMN($E12:EU12),),10))*$E12:EU12,)))/10,SUM($E12:EU12)/COUNT($E12:EU12)),0)</f>
        <v>126.9</v>
      </c>
      <c r="FA12" s="348">
        <f>EZ12-EY12</f>
        <v>-6.2999999999999829</v>
      </c>
      <c r="FB12" s="163">
        <f>MAX(EX12:EX12)</f>
        <v>0</v>
      </c>
      <c r="FC12" s="361" t="s">
        <v>515</v>
      </c>
    </row>
    <row r="13" spans="1:16384" ht="20.100000000000001" customHeight="1">
      <c r="A13" s="48" t="s">
        <v>371</v>
      </c>
      <c r="B13" s="48" t="s">
        <v>194</v>
      </c>
      <c r="C13" s="48" t="s">
        <v>156</v>
      </c>
      <c r="D13" s="49">
        <v>10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18">
        <f>73+D13</f>
        <v>83</v>
      </c>
      <c r="DR13" s="18">
        <f>92+D13</f>
        <v>102</v>
      </c>
      <c r="DS13" s="18">
        <f>102+D13</f>
        <v>112</v>
      </c>
      <c r="DT13" s="18">
        <f>140+D13</f>
        <v>150</v>
      </c>
      <c r="DU13" s="18">
        <f>101+D13</f>
        <v>111</v>
      </c>
      <c r="DV13" s="18">
        <f>151+D13</f>
        <v>161</v>
      </c>
      <c r="DW13" s="18"/>
      <c r="DX13" s="18"/>
      <c r="DY13" s="18"/>
      <c r="DZ13" s="18">
        <f>100+D13</f>
        <v>110</v>
      </c>
      <c r="EA13" s="18">
        <f>162+D13</f>
        <v>172</v>
      </c>
      <c r="EB13" s="18">
        <f>116+D13</f>
        <v>126</v>
      </c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>
        <v>120</v>
      </c>
      <c r="ES13" s="18">
        <v>122</v>
      </c>
      <c r="ET13" s="18">
        <v>104</v>
      </c>
      <c r="EU13" s="45"/>
      <c r="EV13" s="45"/>
      <c r="EW13" s="144">
        <f>IFERROR(SUM(ER13:ET13)/3,0)</f>
        <v>115.33333333333333</v>
      </c>
      <c r="EX13" s="266" t="str">
        <f>A13</f>
        <v>이종현</v>
      </c>
      <c r="EY13" s="144">
        <f>IFERROR(IF(COUNT($E13:EU13)&gt;20,(SUM( INDEX((($E13:EU13&lt;&gt;"")*COLUMN($E13:EU13)&lt;= LARGE(INDEX(($E13:EU13&lt;&gt;"")*COLUMN($E13:EU13),),1))*$E13:EU13,)) - SUM(INDEX((($E13:EU13&lt;&gt;"")*COLUMN($E13:EU13)&lt; LARGE(INDEX(($E13:EU13&lt;&gt;"")*COLUMN($E13:EU13),),20))*$E13:EU13,)))/20,SUM($E13:EU13)/COUNT($E13:EU13)),0)</f>
        <v>122.75</v>
      </c>
      <c r="EZ13" s="144">
        <f>IFERROR(IF(COUNT($E13:EU13)&gt;10,(SUM( INDEX((($E13:EU13&lt;&gt;"")*COLUMN($E13:EU13)&lt;= LARGE(INDEX(($E13:EU13&lt;&gt;"")*COLUMN($E13:EU13),),1))*$E13:EU13,)) - SUM(INDEX((($E13:EU13&lt;&gt;"")*COLUMN($E13:EU13)&lt; LARGE(INDEX(($E13:EU13&lt;&gt;"")*COLUMN($E13:EU13),),10))*$E13:EU13,)))/10,SUM($E13:EU13)/COUNT($E13:EU13)),0)</f>
        <v>128.80000000000001</v>
      </c>
      <c r="FA13" s="348">
        <f>EZ13-EY13</f>
        <v>6.0500000000000114</v>
      </c>
      <c r="FC13" s="361" t="s">
        <v>477</v>
      </c>
    </row>
    <row r="14" spans="1:16384" ht="20.100000000000001" customHeight="1">
      <c r="A14" s="55" t="s">
        <v>372</v>
      </c>
      <c r="B14" s="55" t="s">
        <v>194</v>
      </c>
      <c r="C14" s="55" t="s">
        <v>156</v>
      </c>
      <c r="D14" s="18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18">
        <f>93+D14</f>
        <v>93</v>
      </c>
      <c r="DR14" s="18">
        <f>84+D14</f>
        <v>84</v>
      </c>
      <c r="DS14" s="18">
        <f>93+D14</f>
        <v>93</v>
      </c>
      <c r="DT14" s="18">
        <f>95+D14</f>
        <v>95</v>
      </c>
      <c r="DU14" s="18">
        <f>82+D14</f>
        <v>82</v>
      </c>
      <c r="DV14" s="18">
        <f>88+D14</f>
        <v>88</v>
      </c>
      <c r="DW14" s="18">
        <f>89+D14</f>
        <v>89</v>
      </c>
      <c r="DX14" s="18">
        <f>93+D14</f>
        <v>93</v>
      </c>
      <c r="DY14" s="18">
        <f>136+D14</f>
        <v>136</v>
      </c>
      <c r="DZ14" s="18"/>
      <c r="EA14" s="18"/>
      <c r="EB14" s="18"/>
      <c r="EC14" s="18"/>
      <c r="ED14" s="18"/>
      <c r="EE14" s="18"/>
      <c r="EF14" s="18">
        <f>70+D14</f>
        <v>70</v>
      </c>
      <c r="EG14" s="18">
        <f>82+D14</f>
        <v>82</v>
      </c>
      <c r="EH14" s="18">
        <f>98+D14</f>
        <v>98</v>
      </c>
      <c r="EI14" s="18"/>
      <c r="EJ14" s="18"/>
      <c r="EK14" s="18"/>
      <c r="EL14" s="18">
        <v>79</v>
      </c>
      <c r="EM14" s="18">
        <v>125</v>
      </c>
      <c r="EN14" s="18">
        <v>119</v>
      </c>
      <c r="EO14" s="18">
        <v>93</v>
      </c>
      <c r="EP14" s="18">
        <v>104</v>
      </c>
      <c r="EQ14" s="18">
        <v>86</v>
      </c>
      <c r="ER14" s="18">
        <v>106</v>
      </c>
      <c r="ES14" s="18">
        <v>103</v>
      </c>
      <c r="ET14" s="18">
        <v>110</v>
      </c>
      <c r="EU14" s="45"/>
      <c r="EV14" s="266" t="str">
        <f>A14</f>
        <v>이경준</v>
      </c>
      <c r="EW14" s="144">
        <f>IFERROR(SUM(ER14:ET14)/3,0)</f>
        <v>106.33333333333333</v>
      </c>
      <c r="EX14" s="266" t="str">
        <f>A14</f>
        <v>이경준</v>
      </c>
      <c r="EY14" s="144">
        <f>IFERROR(IF(COUNT($E14:EU14)&gt;20,(SUM( INDEX((($E14:EU14&lt;&gt;"")*COLUMN($E14:EU14)&lt;= LARGE(INDEX(($E14:EU14&lt;&gt;"")*COLUMN($E14:EU14),),1))*$E14:EU14,)) - SUM(INDEX((($E14:EU14&lt;&gt;"")*COLUMN($E14:EU14)&lt; LARGE(INDEX(($E14:EU14&lt;&gt;"")*COLUMN($E14:EU14),),20))*$E14:EU14,)))/20,SUM($E14:EU14)/COUNT($E14:EU14)),0)</f>
        <v>96.75</v>
      </c>
      <c r="EZ14" s="144">
        <f>IFERROR(IF(COUNT($E14:EU14)&gt;10,(SUM( INDEX((($E14:EU14&lt;&gt;"")*COLUMN($E14:EU14)&lt;= LARGE(INDEX(($E14:EU14&lt;&gt;"")*COLUMN($E14:EU14),),1))*$E14:EU14,)) - SUM(INDEX((($E14:EU14&lt;&gt;"")*COLUMN($E14:EU14)&lt; LARGE(INDEX(($E14:EU14&lt;&gt;"")*COLUMN($E14:EU14),),10))*$E14:EU14,)))/10,SUM($E14:EU14)/COUNT($E14:EU14)),0)</f>
        <v>102.3</v>
      </c>
      <c r="FA14" s="348">
        <f>EZ14-EY14</f>
        <v>5.5499999999999972</v>
      </c>
      <c r="FB14" s="318"/>
      <c r="FC14" s="361" t="s">
        <v>345</v>
      </c>
    </row>
    <row r="15" spans="1:16384" ht="20.100000000000001" customHeight="1">
      <c r="A15" s="55" t="s">
        <v>54</v>
      </c>
      <c r="B15" s="55" t="s">
        <v>191</v>
      </c>
      <c r="C15" s="55" t="s">
        <v>156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>
        <v>116</v>
      </c>
      <c r="Q15" s="18">
        <v>180</v>
      </c>
      <c r="R15" s="5"/>
      <c r="S15" s="13"/>
      <c r="T15" s="13"/>
      <c r="U15" s="13"/>
      <c r="V15" s="18"/>
      <c r="W15" s="18"/>
      <c r="X15" s="18"/>
      <c r="Y15" s="18"/>
      <c r="Z15" s="18"/>
      <c r="AA15" s="18"/>
      <c r="AB15" s="18"/>
      <c r="AC15" s="18"/>
      <c r="AD15" s="18">
        <v>146</v>
      </c>
      <c r="AE15" s="18">
        <v>144</v>
      </c>
      <c r="AF15" s="58">
        <v>185</v>
      </c>
      <c r="AG15" s="58">
        <v>176</v>
      </c>
      <c r="AH15" s="58">
        <v>152</v>
      </c>
      <c r="AI15" s="18"/>
      <c r="AJ15" s="18"/>
      <c r="AK15" s="18"/>
      <c r="AL15" s="18">
        <v>139</v>
      </c>
      <c r="AM15" s="18">
        <v>147</v>
      </c>
      <c r="AN15" s="18">
        <v>147</v>
      </c>
      <c r="AO15" s="18">
        <v>166</v>
      </c>
      <c r="AP15" s="18">
        <v>149</v>
      </c>
      <c r="AQ15" s="18">
        <v>165</v>
      </c>
      <c r="AR15" s="28">
        <v>214</v>
      </c>
      <c r="AS15" s="28">
        <v>184</v>
      </c>
      <c r="AT15" s="28">
        <v>145</v>
      </c>
      <c r="AU15" s="18"/>
      <c r="AV15" s="18"/>
      <c r="AW15" s="18"/>
      <c r="AX15" s="18">
        <v>133</v>
      </c>
      <c r="AY15" s="18">
        <v>129</v>
      </c>
      <c r="AZ15" s="18">
        <v>156</v>
      </c>
      <c r="BA15" s="18"/>
      <c r="BB15" s="18"/>
      <c r="BC15" s="5"/>
      <c r="BD15" s="18">
        <v>165</v>
      </c>
      <c r="BE15" s="18">
        <v>143</v>
      </c>
      <c r="BF15" s="18">
        <v>148</v>
      </c>
      <c r="BG15" s="18">
        <v>213</v>
      </c>
      <c r="BH15" s="18">
        <v>185</v>
      </c>
      <c r="BI15" s="18">
        <v>191</v>
      </c>
      <c r="BJ15" s="18">
        <v>181</v>
      </c>
      <c r="BK15" s="18">
        <v>165</v>
      </c>
      <c r="BL15" s="18">
        <v>185</v>
      </c>
      <c r="BM15" s="18">
        <v>161</v>
      </c>
      <c r="BN15" s="18">
        <v>177</v>
      </c>
      <c r="BO15" s="18">
        <v>155</v>
      </c>
      <c r="BP15" s="18">
        <v>155</v>
      </c>
      <c r="BQ15" s="18">
        <v>147</v>
      </c>
      <c r="BR15" s="18">
        <v>143</v>
      </c>
      <c r="BS15" s="18">
        <v>158</v>
      </c>
      <c r="BT15" s="18">
        <v>177</v>
      </c>
      <c r="BU15" s="18">
        <v>124</v>
      </c>
      <c r="BV15" s="18">
        <v>181</v>
      </c>
      <c r="BW15" s="18">
        <v>173</v>
      </c>
      <c r="BX15" s="18">
        <v>194</v>
      </c>
      <c r="BY15" s="18">
        <v>197</v>
      </c>
      <c r="BZ15" s="18">
        <v>152</v>
      </c>
      <c r="CA15" s="18">
        <v>139</v>
      </c>
      <c r="CB15" s="18">
        <v>131</v>
      </c>
      <c r="CC15" s="18">
        <v>154</v>
      </c>
      <c r="CD15" s="18">
        <v>180</v>
      </c>
      <c r="CE15" s="18">
        <v>170</v>
      </c>
      <c r="CF15" s="18">
        <v>133</v>
      </c>
      <c r="CG15" s="18">
        <v>148</v>
      </c>
      <c r="CH15" s="18"/>
      <c r="CI15" s="18"/>
      <c r="CJ15" s="18"/>
      <c r="CK15" s="18">
        <v>137</v>
      </c>
      <c r="CL15" s="18">
        <v>156</v>
      </c>
      <c r="CM15" s="18">
        <v>126</v>
      </c>
      <c r="CN15" s="18">
        <v>156</v>
      </c>
      <c r="CO15" s="18">
        <v>149</v>
      </c>
      <c r="CP15" s="18">
        <v>162</v>
      </c>
      <c r="CQ15" s="18">
        <v>148</v>
      </c>
      <c r="CR15" s="18">
        <v>143</v>
      </c>
      <c r="CS15" s="18">
        <v>157</v>
      </c>
      <c r="CT15" s="18">
        <v>205</v>
      </c>
      <c r="CU15" s="18">
        <v>157</v>
      </c>
      <c r="CV15" s="18">
        <v>141</v>
      </c>
      <c r="CW15" s="18">
        <v>154</v>
      </c>
      <c r="CX15" s="18">
        <v>180</v>
      </c>
      <c r="CY15" s="18">
        <v>214</v>
      </c>
      <c r="CZ15" s="18"/>
      <c r="DA15" s="18"/>
      <c r="DB15" s="18">
        <v>134</v>
      </c>
      <c r="DC15" s="18">
        <v>148</v>
      </c>
      <c r="DD15" s="18">
        <v>176</v>
      </c>
      <c r="DE15" s="18">
        <v>143</v>
      </c>
      <c r="DF15" s="18">
        <v>142</v>
      </c>
      <c r="DG15" s="18">
        <v>132</v>
      </c>
      <c r="DH15" s="18">
        <v>140</v>
      </c>
      <c r="DI15" s="18">
        <v>120</v>
      </c>
      <c r="DJ15" s="18">
        <v>126</v>
      </c>
      <c r="DK15" s="18">
        <v>160</v>
      </c>
      <c r="DL15" s="18">
        <v>157</v>
      </c>
      <c r="DM15" s="18">
        <v>129</v>
      </c>
      <c r="DN15" s="18">
        <v>177</v>
      </c>
      <c r="DO15" s="18">
        <v>188</v>
      </c>
      <c r="DP15" s="18">
        <v>171</v>
      </c>
      <c r="DQ15" s="18">
        <v>144</v>
      </c>
      <c r="DR15" s="18">
        <v>137</v>
      </c>
      <c r="DS15" s="18">
        <v>188</v>
      </c>
      <c r="DT15" s="18">
        <v>159</v>
      </c>
      <c r="DU15" s="18">
        <v>144</v>
      </c>
      <c r="DV15" s="18">
        <v>190</v>
      </c>
      <c r="DW15" s="18">
        <v>191</v>
      </c>
      <c r="DX15" s="18">
        <v>148</v>
      </c>
      <c r="DY15" s="18">
        <v>133</v>
      </c>
      <c r="DZ15" s="18">
        <v>183</v>
      </c>
      <c r="EA15" s="18">
        <v>123</v>
      </c>
      <c r="EB15" s="18">
        <v>135</v>
      </c>
      <c r="EC15" s="18">
        <v>136</v>
      </c>
      <c r="ED15" s="18">
        <v>178</v>
      </c>
      <c r="EE15" s="18">
        <v>140</v>
      </c>
      <c r="EF15" s="18">
        <v>156</v>
      </c>
      <c r="EG15" s="18">
        <v>152</v>
      </c>
      <c r="EH15" s="18">
        <v>119</v>
      </c>
      <c r="EI15" s="18">
        <v>147</v>
      </c>
      <c r="EJ15" s="18">
        <v>133</v>
      </c>
      <c r="EK15" s="18">
        <v>148</v>
      </c>
      <c r="EL15" s="18">
        <v>160</v>
      </c>
      <c r="EM15" s="18">
        <v>177</v>
      </c>
      <c r="EN15" s="18">
        <v>148</v>
      </c>
      <c r="EO15" s="18">
        <v>166</v>
      </c>
      <c r="EP15" s="18">
        <v>190</v>
      </c>
      <c r="EQ15" s="18">
        <v>146</v>
      </c>
      <c r="ER15" s="18"/>
      <c r="ES15" s="18"/>
      <c r="ET15" s="18"/>
      <c r="EU15" s="18"/>
      <c r="EV15" s="266" t="str">
        <f>A15</f>
        <v>김신철</v>
      </c>
      <c r="EW15" s="144">
        <f>IFERROR(SUM(ER15:ET15)/3,0)</f>
        <v>0</v>
      </c>
      <c r="EX15" s="266" t="str">
        <f>A15</f>
        <v>김신철</v>
      </c>
      <c r="EY15" s="144">
        <f>IFERROR(IF(COUNT($E15:EU15)&gt;20,(SUM( INDEX((($E15:EU15&lt;&gt;"")*COLUMN($E15:EU15)&lt;= LARGE(INDEX(($E15:EU15&lt;&gt;"")*COLUMN($E15:EU15),),1))*$E15:EU15,)) - SUM(INDEX((($E15:EU15&lt;&gt;"")*COLUMN($E15:EU15)&lt; LARGE(INDEX(($E15:EU15&lt;&gt;"")*COLUMN($E15:EU15),),20))*$E15:EU15,)))/20,SUM($E15:EU15)/COUNT($E15:EU15)),0)</f>
        <v>150.9</v>
      </c>
      <c r="EZ15" s="144">
        <f>IFERROR(IF(COUNT($E15:EU15)&gt;10,(SUM( INDEX((($E15:EU15&lt;&gt;"")*COLUMN($E15:EU15)&lt;= LARGE(INDEX(($E15:EU15&lt;&gt;"")*COLUMN($E15:EU15),),1))*$E15:EU15,)) - SUM(INDEX((($E15:EU15&lt;&gt;"")*COLUMN($E15:EU15)&lt; LARGE(INDEX(($E15:EU15&lt;&gt;"")*COLUMN($E15:EU15),),10))*$E15:EU15,)))/10,SUM($E15:EU15)/COUNT($E15:EU15)),0)</f>
        <v>153.4</v>
      </c>
      <c r="FA15" s="348">
        <f>EZ15-EY15</f>
        <v>2.5</v>
      </c>
      <c r="FB15" s="163">
        <f>MAX(EX15:EX15)</f>
        <v>0</v>
      </c>
      <c r="FC15" s="361" t="s">
        <v>514</v>
      </c>
    </row>
    <row r="16" spans="1:16384" ht="20.100000000000001" customHeight="1">
      <c r="A16" s="55" t="s">
        <v>82</v>
      </c>
      <c r="B16" s="55" t="s">
        <v>191</v>
      </c>
      <c r="C16" s="55" t="s">
        <v>156</v>
      </c>
      <c r="D16" s="18"/>
      <c r="E16" s="18">
        <v>97</v>
      </c>
      <c r="F16" s="18">
        <v>91</v>
      </c>
      <c r="G16" s="18">
        <v>166</v>
      </c>
      <c r="H16" s="18"/>
      <c r="I16" s="18"/>
      <c r="J16" s="18">
        <v>120</v>
      </c>
      <c r="K16" s="18">
        <v>173</v>
      </c>
      <c r="L16" s="18">
        <v>117</v>
      </c>
      <c r="M16" s="18"/>
      <c r="N16" s="18"/>
      <c r="O16" s="18"/>
      <c r="P16" s="18">
        <v>101</v>
      </c>
      <c r="Q16" s="18">
        <v>105</v>
      </c>
      <c r="R16" s="5"/>
      <c r="S16" s="18">
        <v>114</v>
      </c>
      <c r="T16" s="18">
        <v>189</v>
      </c>
      <c r="U16" s="18">
        <v>123</v>
      </c>
      <c r="V16" s="18">
        <v>160</v>
      </c>
      <c r="W16" s="18">
        <v>117</v>
      </c>
      <c r="X16" s="18">
        <v>155</v>
      </c>
      <c r="Y16" s="18">
        <v>146</v>
      </c>
      <c r="Z16" s="18">
        <v>157</v>
      </c>
      <c r="AA16" s="20">
        <v>203</v>
      </c>
      <c r="AB16" s="18">
        <v>193</v>
      </c>
      <c r="AC16" s="18">
        <v>155</v>
      </c>
      <c r="AD16" s="18">
        <v>179</v>
      </c>
      <c r="AE16" s="18">
        <v>170</v>
      </c>
      <c r="AF16" s="58">
        <v>182</v>
      </c>
      <c r="AG16" s="58">
        <v>151</v>
      </c>
      <c r="AH16" s="58">
        <v>162</v>
      </c>
      <c r="AI16" s="18">
        <v>153</v>
      </c>
      <c r="AJ16" s="18">
        <v>150</v>
      </c>
      <c r="AK16" s="18">
        <v>145</v>
      </c>
      <c r="AL16" s="18">
        <v>140</v>
      </c>
      <c r="AM16" s="18">
        <v>168</v>
      </c>
      <c r="AN16" s="18">
        <v>197</v>
      </c>
      <c r="AO16" s="18">
        <v>140</v>
      </c>
      <c r="AP16" s="18">
        <v>198</v>
      </c>
      <c r="AQ16" s="18">
        <v>106</v>
      </c>
      <c r="AR16" s="18"/>
      <c r="AS16" s="18"/>
      <c r="AT16" s="18"/>
      <c r="AU16" s="18"/>
      <c r="AV16" s="18"/>
      <c r="AW16" s="18"/>
      <c r="AX16" s="18">
        <v>137</v>
      </c>
      <c r="AY16" s="18">
        <v>169</v>
      </c>
      <c r="AZ16" s="18">
        <v>156</v>
      </c>
      <c r="BA16" s="18"/>
      <c r="BB16" s="18"/>
      <c r="BC16" s="5"/>
      <c r="BD16" s="18">
        <v>159</v>
      </c>
      <c r="BE16" s="18">
        <v>130</v>
      </c>
      <c r="BF16" s="18">
        <v>164</v>
      </c>
      <c r="BG16" s="18">
        <v>180</v>
      </c>
      <c r="BH16" s="18">
        <v>227</v>
      </c>
      <c r="BI16" s="18">
        <v>160</v>
      </c>
      <c r="BJ16" s="18">
        <v>158</v>
      </c>
      <c r="BK16" s="18">
        <v>148</v>
      </c>
      <c r="BL16" s="18">
        <v>127</v>
      </c>
      <c r="BM16" s="18">
        <v>169</v>
      </c>
      <c r="BN16" s="18">
        <v>135</v>
      </c>
      <c r="BO16" s="18">
        <v>217</v>
      </c>
      <c r="BP16" s="18">
        <v>110</v>
      </c>
      <c r="BQ16" s="18">
        <v>157</v>
      </c>
      <c r="BR16" s="18">
        <v>191</v>
      </c>
      <c r="BS16" s="18">
        <v>186</v>
      </c>
      <c r="BT16" s="18">
        <v>197</v>
      </c>
      <c r="BU16" s="18">
        <v>111</v>
      </c>
      <c r="BV16" s="18"/>
      <c r="BW16" s="18"/>
      <c r="BX16" s="18"/>
      <c r="BY16" s="18">
        <v>115</v>
      </c>
      <c r="BZ16" s="18">
        <v>131</v>
      </c>
      <c r="CA16" s="18">
        <v>138</v>
      </c>
      <c r="CB16" s="18"/>
      <c r="CC16" s="18"/>
      <c r="CD16" s="18"/>
      <c r="CE16" s="18"/>
      <c r="CF16" s="18"/>
      <c r="CG16" s="18"/>
      <c r="CH16" s="18">
        <v>176</v>
      </c>
      <c r="CI16" s="18">
        <v>177</v>
      </c>
      <c r="CJ16" s="18">
        <v>165</v>
      </c>
      <c r="CK16" s="18">
        <v>122</v>
      </c>
      <c r="CL16" s="18">
        <v>132</v>
      </c>
      <c r="CM16" s="18">
        <v>142</v>
      </c>
      <c r="CN16" s="18">
        <v>149</v>
      </c>
      <c r="CO16" s="18">
        <v>126</v>
      </c>
      <c r="CP16" s="18">
        <v>134</v>
      </c>
      <c r="CQ16" s="18">
        <v>169</v>
      </c>
      <c r="CR16" s="18">
        <v>177</v>
      </c>
      <c r="CS16" s="18">
        <v>152</v>
      </c>
      <c r="CT16" s="18">
        <v>128</v>
      </c>
      <c r="CU16" s="18">
        <v>171</v>
      </c>
      <c r="CV16" s="18">
        <v>136</v>
      </c>
      <c r="CW16" s="18">
        <v>132</v>
      </c>
      <c r="CX16" s="18">
        <v>157</v>
      </c>
      <c r="CY16" s="18">
        <v>125</v>
      </c>
      <c r="CZ16" s="18"/>
      <c r="DA16" s="18"/>
      <c r="DB16" s="18">
        <v>178</v>
      </c>
      <c r="DC16" s="18">
        <v>165</v>
      </c>
      <c r="DD16" s="18">
        <v>134</v>
      </c>
      <c r="DE16" s="18">
        <v>169</v>
      </c>
      <c r="DF16" s="18">
        <v>142</v>
      </c>
      <c r="DG16" s="18">
        <v>168</v>
      </c>
      <c r="DH16" s="18">
        <v>124</v>
      </c>
      <c r="DI16" s="18">
        <v>160</v>
      </c>
      <c r="DJ16" s="18">
        <v>152</v>
      </c>
      <c r="DK16" s="18">
        <v>115</v>
      </c>
      <c r="DL16" s="18">
        <v>111</v>
      </c>
      <c r="DM16" s="18">
        <v>140</v>
      </c>
      <c r="DN16" s="18">
        <v>145</v>
      </c>
      <c r="DO16" s="18">
        <v>157</v>
      </c>
      <c r="DP16" s="18">
        <v>165</v>
      </c>
      <c r="DQ16" s="18">
        <v>160</v>
      </c>
      <c r="DR16" s="18">
        <v>155</v>
      </c>
      <c r="DS16" s="18">
        <v>143</v>
      </c>
      <c r="DT16" s="18">
        <v>171</v>
      </c>
      <c r="DU16" s="18">
        <v>152</v>
      </c>
      <c r="DV16" s="18">
        <v>161</v>
      </c>
      <c r="DW16" s="18">
        <v>140</v>
      </c>
      <c r="DX16" s="18">
        <v>147</v>
      </c>
      <c r="DY16" s="18">
        <v>131</v>
      </c>
      <c r="DZ16" s="18"/>
      <c r="EA16" s="18"/>
      <c r="EB16" s="18"/>
      <c r="EC16" s="18">
        <v>171</v>
      </c>
      <c r="ED16" s="18">
        <v>145</v>
      </c>
      <c r="EE16" s="18">
        <v>185</v>
      </c>
      <c r="EF16" s="18"/>
      <c r="EG16" s="18"/>
      <c r="EH16" s="18"/>
      <c r="EI16" s="18">
        <v>146</v>
      </c>
      <c r="EJ16" s="18">
        <v>168</v>
      </c>
      <c r="EK16" s="18">
        <v>168</v>
      </c>
      <c r="EL16" s="18">
        <v>117</v>
      </c>
      <c r="EM16" s="18">
        <v>131</v>
      </c>
      <c r="EN16" s="18">
        <v>149</v>
      </c>
      <c r="EO16" s="18">
        <v>129</v>
      </c>
      <c r="EP16" s="18">
        <v>122</v>
      </c>
      <c r="EQ16" s="18">
        <v>156</v>
      </c>
      <c r="ER16" s="18"/>
      <c r="ES16" s="18"/>
      <c r="ET16" s="18"/>
      <c r="EU16" s="18"/>
      <c r="EV16" s="266" t="str">
        <f>A16</f>
        <v>한희용</v>
      </c>
      <c r="EW16" s="144">
        <f>IFERROR(SUM(ER16:ET16)/3,0)</f>
        <v>0</v>
      </c>
      <c r="EX16" s="266" t="str">
        <f>A16</f>
        <v>한희용</v>
      </c>
      <c r="EY16" s="144">
        <f>IFERROR(IF(COUNT($E16:EU16)&gt;20,(SUM( INDEX((($E16:EU16&lt;&gt;"")*COLUMN($E16:EU16)&lt;= LARGE(INDEX(($E16:EU16&lt;&gt;"")*COLUMN($E16:EU16),),1))*$E16:EU16,)) - SUM(INDEX((($E16:EU16&lt;&gt;"")*COLUMN($E16:EU16)&lt; LARGE(INDEX(($E16:EU16&lt;&gt;"")*COLUMN($E16:EU16),),20))*$E16:EU16,)))/20,SUM($E16:EU16)/COUNT($E16:EU16)),0)</f>
        <v>149.35</v>
      </c>
      <c r="EZ16" s="144">
        <f>IFERROR(IF(COUNT($E16:EU16)&gt;10,(SUM( INDEX((($E16:EU16&lt;&gt;"")*COLUMN($E16:EU16)&lt;= LARGE(INDEX(($E16:EU16&lt;&gt;"")*COLUMN($E16:EU16),),1))*$E16:EU16,)) - SUM(INDEX((($E16:EU16&lt;&gt;"")*COLUMN($E16:EU16)&lt; LARGE(INDEX(($E16:EU16&lt;&gt;"")*COLUMN($E16:EU16),),10))*$E16:EU16,)))/10,SUM($E16:EU16)/COUNT($E16:EU16)),0)</f>
        <v>147.1</v>
      </c>
      <c r="FA16" s="348">
        <f>EZ16-EY16</f>
        <v>-2.25</v>
      </c>
      <c r="FB16" s="163">
        <f>MAX(EX16:EX16)</f>
        <v>0</v>
      </c>
      <c r="FC16" s="361" t="s">
        <v>512</v>
      </c>
    </row>
    <row r="17" spans="1:159" ht="20.100000000000001" hidden="1" customHeight="1">
      <c r="A17" s="74" t="s">
        <v>71</v>
      </c>
      <c r="B17" s="74" t="s">
        <v>266</v>
      </c>
      <c r="C17" s="74" t="s">
        <v>157</v>
      </c>
      <c r="D17" s="75">
        <v>12</v>
      </c>
      <c r="E17" s="18">
        <v>140</v>
      </c>
      <c r="F17" s="18">
        <v>126</v>
      </c>
      <c r="G17" s="18">
        <v>130</v>
      </c>
      <c r="H17" s="18"/>
      <c r="I17" s="18"/>
      <c r="J17" s="18">
        <v>145</v>
      </c>
      <c r="K17" s="18">
        <v>125</v>
      </c>
      <c r="L17" s="18">
        <v>134</v>
      </c>
      <c r="M17" s="18">
        <v>138</v>
      </c>
      <c r="N17" s="18">
        <v>127</v>
      </c>
      <c r="O17" s="18">
        <v>152</v>
      </c>
      <c r="P17" s="21">
        <v>200</v>
      </c>
      <c r="Q17" s="22">
        <v>145</v>
      </c>
      <c r="R17" s="5"/>
      <c r="S17" s="22">
        <v>182</v>
      </c>
      <c r="T17" s="22">
        <v>166</v>
      </c>
      <c r="U17" s="22">
        <v>160</v>
      </c>
      <c r="V17" s="68">
        <v>159</v>
      </c>
      <c r="W17" s="68">
        <v>137</v>
      </c>
      <c r="X17" s="68">
        <v>167</v>
      </c>
      <c r="Y17" s="22">
        <v>151</v>
      </c>
      <c r="Z17" s="22">
        <v>128</v>
      </c>
      <c r="AA17" s="78">
        <v>232</v>
      </c>
      <c r="AB17" s="77">
        <v>158</v>
      </c>
      <c r="AC17" s="77">
        <v>140</v>
      </c>
      <c r="AD17" s="77"/>
      <c r="AE17" s="77"/>
      <c r="AF17" s="76">
        <v>160</v>
      </c>
      <c r="AG17" s="76">
        <v>163</v>
      </c>
      <c r="AH17" s="76">
        <v>199</v>
      </c>
      <c r="AI17" s="20">
        <v>215</v>
      </c>
      <c r="AJ17" s="18">
        <v>160</v>
      </c>
      <c r="AK17" s="18">
        <v>173</v>
      </c>
      <c r="AL17" s="18">
        <v>156</v>
      </c>
      <c r="AM17" s="18">
        <v>116</v>
      </c>
      <c r="AN17" s="18">
        <v>184</v>
      </c>
      <c r="AO17" s="22">
        <v>123</v>
      </c>
      <c r="AP17" s="22">
        <v>181</v>
      </c>
      <c r="AQ17" s="22">
        <v>168</v>
      </c>
      <c r="AR17" s="28">
        <v>165</v>
      </c>
      <c r="AS17" s="28">
        <v>180</v>
      </c>
      <c r="AT17" s="28">
        <v>176</v>
      </c>
      <c r="AU17" s="22"/>
      <c r="AV17" s="22"/>
      <c r="AW17" s="22"/>
      <c r="AX17" s="22">
        <v>146</v>
      </c>
      <c r="AY17" s="22">
        <v>149</v>
      </c>
      <c r="AZ17" s="22">
        <v>153</v>
      </c>
      <c r="BA17" s="22"/>
      <c r="BB17" s="22"/>
      <c r="BC17" s="5"/>
      <c r="BD17" s="22">
        <v>155</v>
      </c>
      <c r="BE17" s="22">
        <v>185</v>
      </c>
      <c r="BF17" s="22">
        <v>168</v>
      </c>
      <c r="BG17" s="22"/>
      <c r="BH17" s="22"/>
      <c r="BI17" s="22"/>
      <c r="BJ17" s="22">
        <v>120</v>
      </c>
      <c r="BK17" s="22">
        <v>143</v>
      </c>
      <c r="BL17" s="22">
        <v>135</v>
      </c>
      <c r="BM17" s="22">
        <v>161</v>
      </c>
      <c r="BN17" s="22">
        <v>157</v>
      </c>
      <c r="BO17" s="22">
        <v>172</v>
      </c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144">
        <f>IFERROR(SUM(DE17:DG17)/3,0)</f>
        <v>0</v>
      </c>
      <c r="EX17" s="337"/>
      <c r="EY17" s="144">
        <f>IFERROR(IF(COUNT($E17:EU17)&gt;20,(SUM( INDEX((($E17:EU17&lt;&gt;"")*COLUMN($E17:EU17)&lt;= LARGE(INDEX(($E17:EU17&lt;&gt;"")*COLUMN($E17:EU17),),1))*$E17:EU17,)) - SUM(INDEX((($E17:EU17&lt;&gt;"")*COLUMN($E17:EU17)&lt; LARGE(INDEX(($E17:EU17&lt;&gt;"")*COLUMN($E17:EU17),),20))*$E17:EU17,)))/20,SUM($E17:EU17)/COUNT($E17:EU17)),0)</f>
        <v>156.85</v>
      </c>
      <c r="EZ17" s="144">
        <f>IFERROR(IF(COUNT($E17:EU17)&gt;10,(SUM( INDEX((($E17:EU17&lt;&gt;"")*COLUMN($E17:EU17)&lt;= LARGE(INDEX(($E17:EU17&lt;&gt;"")*COLUMN($E17:EU17),),1))*$E17:EU17,)) - SUM(INDEX((($E17:EU17&lt;&gt;"")*COLUMN($E17:EU17)&lt; LARGE(INDEX(($E17:EU17&lt;&gt;"")*COLUMN($E17:EU17),),10))*$E17:EU17,)))/10,SUM($E17:EU17)/COUNT($E17:EU17)),0)</f>
        <v>154.9</v>
      </c>
      <c r="FA17" s="348">
        <f>EZ17-EY17</f>
        <v>-1.9499999999999886</v>
      </c>
      <c r="FB17" s="163">
        <f>MAX(EX17:EX17)</f>
        <v>0</v>
      </c>
      <c r="FC17" s="163"/>
    </row>
    <row r="18" spans="1:159" ht="19.5" customHeight="1">
      <c r="A18" s="65" t="s">
        <v>62</v>
      </c>
      <c r="B18" s="65" t="s">
        <v>191</v>
      </c>
      <c r="C18" s="65" t="s">
        <v>157</v>
      </c>
      <c r="D18" s="60">
        <v>12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5"/>
      <c r="S18" s="14">
        <v>116</v>
      </c>
      <c r="T18" s="14">
        <v>122</v>
      </c>
      <c r="U18" s="14">
        <v>128</v>
      </c>
      <c r="V18" s="66">
        <v>123</v>
      </c>
      <c r="W18" s="66">
        <v>95</v>
      </c>
      <c r="X18" s="66">
        <v>116</v>
      </c>
      <c r="Y18" s="14">
        <v>126</v>
      </c>
      <c r="Z18" s="14">
        <v>128</v>
      </c>
      <c r="AA18" s="61">
        <v>134</v>
      </c>
      <c r="AB18" s="61">
        <v>135</v>
      </c>
      <c r="AC18" s="61">
        <v>152</v>
      </c>
      <c r="AD18" s="49">
        <v>117</v>
      </c>
      <c r="AE18" s="49">
        <v>117</v>
      </c>
      <c r="AF18" s="58">
        <v>146</v>
      </c>
      <c r="AG18" s="58">
        <v>170</v>
      </c>
      <c r="AH18" s="58">
        <v>152</v>
      </c>
      <c r="AI18" s="18">
        <f>145+12</f>
        <v>157</v>
      </c>
      <c r="AJ18" s="18">
        <f>169+12</f>
        <v>181</v>
      </c>
      <c r="AK18" s="18">
        <f>137+12</f>
        <v>149</v>
      </c>
      <c r="AL18" s="18">
        <v>161</v>
      </c>
      <c r="AM18" s="18">
        <v>129</v>
      </c>
      <c r="AN18" s="18">
        <v>155</v>
      </c>
      <c r="AO18" s="14">
        <v>159</v>
      </c>
      <c r="AP18" s="14">
        <v>143</v>
      </c>
      <c r="AQ18" s="14">
        <v>105</v>
      </c>
      <c r="AR18" s="28">
        <v>140</v>
      </c>
      <c r="AS18" s="28">
        <v>169</v>
      </c>
      <c r="AT18" s="28">
        <v>175</v>
      </c>
      <c r="AU18" s="14">
        <v>190</v>
      </c>
      <c r="AV18" s="14">
        <v>170</v>
      </c>
      <c r="AW18" s="14">
        <v>163</v>
      </c>
      <c r="AX18" s="18">
        <v>131</v>
      </c>
      <c r="AY18" s="18">
        <v>177</v>
      </c>
      <c r="AZ18" s="18">
        <v>136</v>
      </c>
      <c r="BA18" s="18"/>
      <c r="BB18" s="18"/>
      <c r="BC18" s="5"/>
      <c r="BD18" s="18">
        <v>142</v>
      </c>
      <c r="BE18" s="18">
        <v>147</v>
      </c>
      <c r="BF18" s="18">
        <v>127</v>
      </c>
      <c r="BG18" s="18"/>
      <c r="BH18" s="18"/>
      <c r="BI18" s="18"/>
      <c r="BJ18" s="18">
        <v>147</v>
      </c>
      <c r="BK18" s="18">
        <v>194</v>
      </c>
      <c r="BL18" s="18">
        <v>155</v>
      </c>
      <c r="BM18" s="18">
        <v>132</v>
      </c>
      <c r="BN18" s="18">
        <v>146</v>
      </c>
      <c r="BO18" s="18">
        <v>128</v>
      </c>
      <c r="BP18" s="18">
        <f>134+D18</f>
        <v>146</v>
      </c>
      <c r="BQ18" s="18">
        <f>144+D18</f>
        <v>156</v>
      </c>
      <c r="BR18" s="18">
        <f>180+D18</f>
        <v>192</v>
      </c>
      <c r="BS18" s="18">
        <v>144</v>
      </c>
      <c r="BT18" s="18">
        <v>144</v>
      </c>
      <c r="BU18" s="18">
        <v>140</v>
      </c>
      <c r="BV18" s="18">
        <f>163+D18</f>
        <v>175</v>
      </c>
      <c r="BW18" s="18">
        <f>138+D18</f>
        <v>150</v>
      </c>
      <c r="BX18" s="18">
        <f>157+D18</f>
        <v>169</v>
      </c>
      <c r="BY18" s="18">
        <f>137+D18</f>
        <v>149</v>
      </c>
      <c r="BZ18" s="18">
        <f>132+D18</f>
        <v>144</v>
      </c>
      <c r="CA18" s="18">
        <f>115+D18</f>
        <v>127</v>
      </c>
      <c r="CB18" s="18">
        <f>121+D18</f>
        <v>133</v>
      </c>
      <c r="CC18" s="18">
        <f>144+D18</f>
        <v>156</v>
      </c>
      <c r="CD18" s="18">
        <f>125+D18</f>
        <v>137</v>
      </c>
      <c r="CE18" s="18">
        <f>147+D18</f>
        <v>159</v>
      </c>
      <c r="CF18" s="18">
        <f>112+D18</f>
        <v>124</v>
      </c>
      <c r="CG18" s="18">
        <f>120+D18</f>
        <v>132</v>
      </c>
      <c r="CH18" s="18">
        <f>131+D18</f>
        <v>143</v>
      </c>
      <c r="CI18" s="18">
        <f>128+D18</f>
        <v>140</v>
      </c>
      <c r="CJ18" s="18">
        <f>136+D18</f>
        <v>148</v>
      </c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>
        <f>147+D18</f>
        <v>159</v>
      </c>
      <c r="CX18" s="18">
        <f>121+D18</f>
        <v>133</v>
      </c>
      <c r="CY18" s="18">
        <f>130+D18</f>
        <v>142</v>
      </c>
      <c r="CZ18" s="18"/>
      <c r="DA18" s="18"/>
      <c r="DB18" s="18">
        <f>157+D18</f>
        <v>169</v>
      </c>
      <c r="DC18" s="18">
        <f>144+D18</f>
        <v>156</v>
      </c>
      <c r="DD18" s="18">
        <f>109+D18</f>
        <v>121</v>
      </c>
      <c r="DE18" s="18">
        <f>165+12</f>
        <v>177</v>
      </c>
      <c r="DF18" s="18">
        <f>179+12</f>
        <v>191</v>
      </c>
      <c r="DG18" s="18">
        <f>125+12</f>
        <v>137</v>
      </c>
      <c r="DH18" s="18"/>
      <c r="DI18" s="18"/>
      <c r="DJ18" s="18"/>
      <c r="DK18" s="18">
        <f>151+D18</f>
        <v>163</v>
      </c>
      <c r="DL18" s="18">
        <f>154+D18</f>
        <v>166</v>
      </c>
      <c r="DM18" s="18">
        <f>131+D18</f>
        <v>143</v>
      </c>
      <c r="DN18" s="18">
        <f>144+D18</f>
        <v>156</v>
      </c>
      <c r="DO18" s="18">
        <f>138+D18</f>
        <v>150</v>
      </c>
      <c r="DP18" s="18">
        <f>150+D18</f>
        <v>162</v>
      </c>
      <c r="DQ18" s="18">
        <f>175+D18</f>
        <v>187</v>
      </c>
      <c r="DR18" s="18">
        <f>167+D18</f>
        <v>179</v>
      </c>
      <c r="DS18" s="18">
        <f>118+D18</f>
        <v>130</v>
      </c>
      <c r="DT18" s="18">
        <f>114+D18</f>
        <v>126</v>
      </c>
      <c r="DU18" s="18">
        <f>162+D18</f>
        <v>174</v>
      </c>
      <c r="DV18" s="18">
        <f>171+D18</f>
        <v>183</v>
      </c>
      <c r="DW18" s="18">
        <f>156+D18</f>
        <v>168</v>
      </c>
      <c r="DX18" s="18">
        <f>157+D18</f>
        <v>169</v>
      </c>
      <c r="DY18" s="18">
        <f>158+D18</f>
        <v>170</v>
      </c>
      <c r="DZ18" s="18"/>
      <c r="EA18" s="18"/>
      <c r="EB18" s="18"/>
      <c r="EC18" s="18"/>
      <c r="ED18" s="18"/>
      <c r="EE18" s="18"/>
      <c r="EF18" s="18">
        <f>135+D18</f>
        <v>147</v>
      </c>
      <c r="EG18" s="18">
        <f>160+D18</f>
        <v>172</v>
      </c>
      <c r="EH18" s="18">
        <f>128+D18</f>
        <v>140</v>
      </c>
      <c r="EI18" s="18">
        <f>163+D18</f>
        <v>175</v>
      </c>
      <c r="EJ18" s="18">
        <f>119+D18</f>
        <v>131</v>
      </c>
      <c r="EK18" s="18">
        <f>138+D18</f>
        <v>150</v>
      </c>
      <c r="EL18" s="18">
        <f>182+D18</f>
        <v>194</v>
      </c>
      <c r="EM18" s="18">
        <f>134+D18</f>
        <v>146</v>
      </c>
      <c r="EN18" s="18">
        <f>114+D18</f>
        <v>126</v>
      </c>
      <c r="EO18" s="18">
        <f>81+D18</f>
        <v>93</v>
      </c>
      <c r="EP18" s="18">
        <f>81+D18</f>
        <v>93</v>
      </c>
      <c r="EQ18" s="18">
        <f>114+D18</f>
        <v>126</v>
      </c>
      <c r="ER18" s="18"/>
      <c r="ES18" s="18"/>
      <c r="ET18" s="18"/>
      <c r="EU18" s="18"/>
      <c r="EV18" s="266" t="str">
        <f>A18</f>
        <v>성소라</v>
      </c>
      <c r="EW18" s="144">
        <f>IFERROR(SUM(ER18:ET18)/3,0)</f>
        <v>0</v>
      </c>
      <c r="EX18" s="266" t="str">
        <f>A18</f>
        <v>성소라</v>
      </c>
      <c r="EY18" s="144">
        <f>IFERROR(IF(COUNT($E18:EU18)&gt;20,(SUM( INDEX((($E18:EU18&lt;&gt;"")*COLUMN($E18:EU18)&lt;= LARGE(INDEX(($E18:EU18&lt;&gt;"")*COLUMN($E18:EU18),),1))*$E18:EU18,)) - SUM(INDEX((($E18:EU18&lt;&gt;"")*COLUMN($E18:EU18)&lt; LARGE(INDEX(($E18:EU18&lt;&gt;"")*COLUMN($E18:EU18),),20))*$E18:EU18,)))/20,SUM($E18:EU18)/COUNT($E18:EU18)),0)</f>
        <v>149.6</v>
      </c>
      <c r="EZ18" s="144">
        <f>IFERROR(IF(COUNT($E18:EU18)&gt;10,(SUM( INDEX((($E18:EU18&lt;&gt;"")*COLUMN($E18:EU18)&lt;= LARGE(INDEX(($E18:EU18&lt;&gt;"")*COLUMN($E18:EU18),),1))*$E18:EU18,)) - SUM(INDEX((($E18:EU18&lt;&gt;"")*COLUMN($E18:EU18)&lt; LARGE(INDEX(($E18:EU18&lt;&gt;"")*COLUMN($E18:EU18),),10))*$E18:EU18,)))/10,SUM($E18:EU18)/COUNT($E18:EU18)),0)</f>
        <v>137.4</v>
      </c>
      <c r="FA18" s="348">
        <f>EZ18-EY18</f>
        <v>-12.199999999999989</v>
      </c>
      <c r="FB18" s="163">
        <f>MAX(EX18:EX18)</f>
        <v>0</v>
      </c>
      <c r="FC18" s="361" t="s">
        <v>513</v>
      </c>
    </row>
    <row r="19" spans="1:159" ht="20.100000000000001" customHeight="1">
      <c r="A19" s="55" t="s">
        <v>475</v>
      </c>
      <c r="B19" s="55" t="s">
        <v>194</v>
      </c>
      <c r="C19" s="55" t="s">
        <v>156</v>
      </c>
      <c r="D19" s="18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13">
        <v>157</v>
      </c>
      <c r="DX19" s="13">
        <v>132</v>
      </c>
      <c r="DY19" s="13">
        <v>119</v>
      </c>
      <c r="DZ19" s="13">
        <v>134</v>
      </c>
      <c r="EA19" s="13">
        <v>100</v>
      </c>
      <c r="EB19" s="13">
        <v>49</v>
      </c>
      <c r="EC19" s="45"/>
      <c r="ED19" s="45"/>
      <c r="EE19" s="45"/>
      <c r="EF19" s="99">
        <f>125+D19</f>
        <v>125</v>
      </c>
      <c r="EG19" s="99">
        <f>111+D19</f>
        <v>111</v>
      </c>
      <c r="EH19" s="99">
        <f>85+D19</f>
        <v>85</v>
      </c>
      <c r="EI19" s="99">
        <v>116</v>
      </c>
      <c r="EJ19" s="99">
        <v>107</v>
      </c>
      <c r="EK19" s="99">
        <v>103</v>
      </c>
      <c r="EL19" s="99">
        <v>113</v>
      </c>
      <c r="EM19" s="99">
        <v>116</v>
      </c>
      <c r="EN19" s="99">
        <v>121</v>
      </c>
      <c r="EO19" s="99">
        <v>88</v>
      </c>
      <c r="EP19" s="99">
        <v>127</v>
      </c>
      <c r="EQ19" s="99">
        <v>96</v>
      </c>
      <c r="ER19" s="99"/>
      <c r="ES19" s="99"/>
      <c r="ET19" s="99"/>
      <c r="EU19" s="45"/>
      <c r="EV19" s="45"/>
      <c r="EW19" s="144">
        <f>IFERROR(SUM(ER19:ET19)/3,0)</f>
        <v>0</v>
      </c>
      <c r="EX19" s="315"/>
      <c r="EY19" s="144">
        <f>IFERROR(IF(COUNT($E19:EU19)&gt;20,(SUM( INDEX((($E19:EU19&lt;&gt;"")*COLUMN($E19:EU19)&lt;= LARGE(INDEX(($E19:EU19&lt;&gt;"")*COLUMN($E19:EU19),),1))*$E19:EU19,)) - SUM(INDEX((($E19:EU19&lt;&gt;"")*COLUMN($E19:EU19)&lt; LARGE(INDEX(($E19:EU19&lt;&gt;"")*COLUMN($E19:EU19),),20))*$E19:EU19,)))/20,SUM($E19:EU19)/COUNT($E19:EU19)),0)</f>
        <v>111.05555555555556</v>
      </c>
      <c r="EZ19" s="144">
        <f>IFERROR(IF(COUNT($E19:EU19)&gt;10,(SUM( INDEX((($E19:EU19&lt;&gt;"")*COLUMN($E19:EU19)&lt;= LARGE(INDEX(($E19:EU19&lt;&gt;"")*COLUMN($E19:EU19),),1))*$E19:EU19,)) - SUM(INDEX((($E19:EU19&lt;&gt;"")*COLUMN($E19:EU19)&lt; LARGE(INDEX(($E19:EU19&lt;&gt;"")*COLUMN($E19:EU19),),10))*$E19:EU19,)))/10,SUM($E19:EU19)/COUNT($E19:EU19)),0)</f>
        <v>107.2</v>
      </c>
      <c r="FA19" s="348">
        <f>EZ19-EY19</f>
        <v>-3.8555555555555543</v>
      </c>
      <c r="FB19" s="318"/>
      <c r="FC19" s="443" t="s">
        <v>514</v>
      </c>
    </row>
    <row r="20" spans="1:159" ht="20.100000000000001" customHeight="1">
      <c r="A20" s="55" t="s">
        <v>80</v>
      </c>
      <c r="B20" s="55" t="s">
        <v>191</v>
      </c>
      <c r="C20" s="55" t="s">
        <v>156</v>
      </c>
      <c r="D20" s="18"/>
      <c r="E20" s="20">
        <v>211</v>
      </c>
      <c r="F20" s="18">
        <v>171</v>
      </c>
      <c r="G20" s="18">
        <v>176</v>
      </c>
      <c r="H20" s="18">
        <v>147</v>
      </c>
      <c r="I20" s="18">
        <v>146</v>
      </c>
      <c r="J20" s="18"/>
      <c r="K20" s="18"/>
      <c r="L20" s="18"/>
      <c r="M20" s="18">
        <v>155</v>
      </c>
      <c r="N20" s="18">
        <v>139</v>
      </c>
      <c r="O20" s="18">
        <v>155</v>
      </c>
      <c r="P20" s="18">
        <v>134</v>
      </c>
      <c r="Q20" s="18">
        <v>130</v>
      </c>
      <c r="R20" s="5"/>
      <c r="S20" s="18">
        <v>171</v>
      </c>
      <c r="T20" s="20">
        <v>204</v>
      </c>
      <c r="U20" s="18">
        <v>163</v>
      </c>
      <c r="V20" s="18"/>
      <c r="W20" s="18"/>
      <c r="X20" s="18"/>
      <c r="Y20" s="18">
        <v>181</v>
      </c>
      <c r="Z20" s="18">
        <v>147</v>
      </c>
      <c r="AA20" s="18">
        <v>167</v>
      </c>
      <c r="AB20" s="18">
        <v>191</v>
      </c>
      <c r="AC20" s="18">
        <v>184</v>
      </c>
      <c r="AD20" s="18"/>
      <c r="AE20" s="18"/>
      <c r="AF20" s="58">
        <v>161</v>
      </c>
      <c r="AG20" s="58">
        <v>186</v>
      </c>
      <c r="AH20" s="58">
        <v>157</v>
      </c>
      <c r="AI20" s="18">
        <v>158</v>
      </c>
      <c r="AJ20" s="18">
        <v>169</v>
      </c>
      <c r="AK20" s="18">
        <v>188</v>
      </c>
      <c r="AL20" s="18">
        <v>142</v>
      </c>
      <c r="AM20" s="18">
        <v>182</v>
      </c>
      <c r="AN20" s="18">
        <v>173</v>
      </c>
      <c r="AO20" s="18">
        <v>144</v>
      </c>
      <c r="AP20" s="18">
        <v>130</v>
      </c>
      <c r="AQ20" s="18">
        <v>172</v>
      </c>
      <c r="AR20" s="28">
        <v>137</v>
      </c>
      <c r="AS20" s="28">
        <v>180</v>
      </c>
      <c r="AT20" s="28">
        <v>222</v>
      </c>
      <c r="AU20" s="18">
        <v>145</v>
      </c>
      <c r="AV20" s="18">
        <v>171</v>
      </c>
      <c r="AW20" s="18">
        <v>182</v>
      </c>
      <c r="AX20" s="18">
        <v>152</v>
      </c>
      <c r="AY20" s="18">
        <v>143</v>
      </c>
      <c r="AZ20" s="18">
        <v>156</v>
      </c>
      <c r="BA20" s="18"/>
      <c r="BB20" s="18"/>
      <c r="BC20" s="5"/>
      <c r="BD20" s="18"/>
      <c r="BE20" s="18"/>
      <c r="BF20" s="18"/>
      <c r="BG20" s="18">
        <v>150</v>
      </c>
      <c r="BH20" s="18">
        <v>174</v>
      </c>
      <c r="BI20" s="18">
        <v>181</v>
      </c>
      <c r="BJ20" s="18"/>
      <c r="BK20" s="18"/>
      <c r="BL20" s="18"/>
      <c r="BM20" s="18">
        <v>190</v>
      </c>
      <c r="BN20" s="18">
        <v>170</v>
      </c>
      <c r="BO20" s="335">
        <v>231</v>
      </c>
      <c r="BP20" s="18">
        <v>181</v>
      </c>
      <c r="BQ20" s="18">
        <v>168</v>
      </c>
      <c r="BR20" s="18">
        <v>156</v>
      </c>
      <c r="BS20" s="18">
        <v>201</v>
      </c>
      <c r="BT20" s="18">
        <v>192</v>
      </c>
      <c r="BU20" s="18">
        <v>195</v>
      </c>
      <c r="BV20" s="18">
        <v>174</v>
      </c>
      <c r="BW20" s="18">
        <v>179</v>
      </c>
      <c r="BX20" s="18">
        <v>147</v>
      </c>
      <c r="BY20" s="18">
        <v>208</v>
      </c>
      <c r="BZ20" s="18">
        <v>186</v>
      </c>
      <c r="CA20" s="18">
        <v>135</v>
      </c>
      <c r="CB20" s="18"/>
      <c r="CC20" s="18"/>
      <c r="CD20" s="18"/>
      <c r="CE20" s="18">
        <v>168</v>
      </c>
      <c r="CF20" s="18">
        <v>147</v>
      </c>
      <c r="CG20" s="18">
        <v>151</v>
      </c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>
        <v>188</v>
      </c>
      <c r="DI20" s="18">
        <v>140</v>
      </c>
      <c r="DJ20" s="18">
        <v>157</v>
      </c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266" t="str">
        <f>A20</f>
        <v>천재복</v>
      </c>
      <c r="EW20" s="144">
        <f>IFERROR(SUM(ER20:ET20)/3,0)</f>
        <v>0</v>
      </c>
      <c r="EX20" s="266" t="str">
        <f>A20</f>
        <v>천재복</v>
      </c>
      <c r="EY20" s="144">
        <f>IFERROR(IF(COUNT($E20:EU20)&gt;20,(SUM( INDEX((($E20:EU20&lt;&gt;"")*COLUMN($E20:EU20)&lt;= LARGE(INDEX(($E20:EU20&lt;&gt;"")*COLUMN($E20:EU20),),1))*$E20:EU20,)) - SUM(INDEX((($E20:EU20&lt;&gt;"")*COLUMN($E20:EU20)&lt; LARGE(INDEX(($E20:EU20&lt;&gt;"")*COLUMN($E20:EU20),),20))*$E20:EU20,)))/20,SUM($E20:EU20)/COUNT($E20:EU20)),0)</f>
        <v>173.7</v>
      </c>
      <c r="EZ20" s="144">
        <f>IFERROR(IF(COUNT($E20:EU20)&gt;10,(SUM( INDEX((($E20:EU20&lt;&gt;"")*COLUMN($E20:EU20)&lt;= LARGE(INDEX(($E20:EU20&lt;&gt;"")*COLUMN($E20:EU20),),1))*$E20:EU20,)) - SUM(INDEX((($E20:EU20&lt;&gt;"")*COLUMN($E20:EU20)&lt; LARGE(INDEX(($E20:EU20&lt;&gt;"")*COLUMN($E20:EU20),),10))*$E20:EU20,)))/10,SUM($E20:EU20)/COUNT($E20:EU20)),0)</f>
        <v>162.69999999999999</v>
      </c>
      <c r="FA20" s="348">
        <f>EZ20-EY20</f>
        <v>-11</v>
      </c>
      <c r="FB20" s="163">
        <f>MAX(EX20:EX20)</f>
        <v>0</v>
      </c>
      <c r="FC20" s="361" t="s">
        <v>514</v>
      </c>
    </row>
    <row r="21" spans="1:159" ht="20.100000000000001" customHeight="1">
      <c r="A21" s="55" t="s">
        <v>68</v>
      </c>
      <c r="B21" s="55" t="s">
        <v>191</v>
      </c>
      <c r="C21" s="55" t="s">
        <v>156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5"/>
      <c r="S21" s="18">
        <v>157</v>
      </c>
      <c r="T21" s="18">
        <v>131</v>
      </c>
      <c r="U21" s="18">
        <v>143</v>
      </c>
      <c r="V21" s="68">
        <v>120</v>
      </c>
      <c r="W21" s="68">
        <v>147</v>
      </c>
      <c r="X21" s="68">
        <v>140</v>
      </c>
      <c r="Y21" s="18">
        <v>196</v>
      </c>
      <c r="Z21" s="18">
        <v>132</v>
      </c>
      <c r="AA21" s="18"/>
      <c r="AB21" s="18"/>
      <c r="AC21" s="18"/>
      <c r="AD21" s="18"/>
      <c r="AE21" s="18"/>
      <c r="AF21" s="58">
        <v>176</v>
      </c>
      <c r="AG21" s="58">
        <v>155</v>
      </c>
      <c r="AH21" s="58">
        <v>187</v>
      </c>
      <c r="AI21" s="18">
        <v>165</v>
      </c>
      <c r="AJ21" s="18">
        <v>135</v>
      </c>
      <c r="AK21" s="18">
        <v>150</v>
      </c>
      <c r="AL21" s="18">
        <v>122</v>
      </c>
      <c r="AM21" s="18">
        <v>137</v>
      </c>
      <c r="AN21" s="18">
        <v>145</v>
      </c>
      <c r="AO21" s="18">
        <v>148</v>
      </c>
      <c r="AP21" s="18">
        <v>158</v>
      </c>
      <c r="AQ21" s="18">
        <v>166</v>
      </c>
      <c r="AR21" s="28">
        <v>113</v>
      </c>
      <c r="AS21" s="28">
        <v>200</v>
      </c>
      <c r="AT21" s="28">
        <v>154</v>
      </c>
      <c r="AU21" s="18">
        <v>224</v>
      </c>
      <c r="AV21" s="18">
        <v>181</v>
      </c>
      <c r="AW21" s="18">
        <v>177</v>
      </c>
      <c r="AX21" s="18"/>
      <c r="AY21" s="18"/>
      <c r="AZ21" s="18"/>
      <c r="BA21" s="18">
        <v>203</v>
      </c>
      <c r="BB21" s="18">
        <v>159</v>
      </c>
      <c r="BC21" s="5"/>
      <c r="BD21" s="18">
        <v>164</v>
      </c>
      <c r="BE21" s="18">
        <v>147</v>
      </c>
      <c r="BF21" s="18">
        <v>154</v>
      </c>
      <c r="BG21" s="18"/>
      <c r="BH21" s="18"/>
      <c r="BI21" s="18"/>
      <c r="BJ21" s="18">
        <v>167</v>
      </c>
      <c r="BK21" s="18">
        <v>168</v>
      </c>
      <c r="BL21" s="18">
        <v>152</v>
      </c>
      <c r="BM21" s="18">
        <v>131</v>
      </c>
      <c r="BN21" s="18">
        <v>169</v>
      </c>
      <c r="BO21" s="18">
        <v>172</v>
      </c>
      <c r="BP21" s="18">
        <v>158</v>
      </c>
      <c r="BQ21" s="18">
        <v>149</v>
      </c>
      <c r="BR21" s="18">
        <v>199</v>
      </c>
      <c r="BS21" s="18">
        <v>160</v>
      </c>
      <c r="BT21" s="18">
        <v>160</v>
      </c>
      <c r="BU21" s="18">
        <v>159</v>
      </c>
      <c r="BV21" s="18">
        <v>119</v>
      </c>
      <c r="BW21" s="18">
        <v>158</v>
      </c>
      <c r="BX21" s="18">
        <v>182</v>
      </c>
      <c r="BY21" s="18">
        <v>145</v>
      </c>
      <c r="BZ21" s="18">
        <v>183</v>
      </c>
      <c r="CA21" s="18">
        <v>138</v>
      </c>
      <c r="CB21" s="18">
        <v>156</v>
      </c>
      <c r="CC21" s="18">
        <v>140</v>
      </c>
      <c r="CD21" s="18">
        <v>174</v>
      </c>
      <c r="CE21" s="18">
        <v>170</v>
      </c>
      <c r="CF21" s="18">
        <v>176</v>
      </c>
      <c r="CG21" s="18">
        <v>165</v>
      </c>
      <c r="CH21" s="18">
        <v>138</v>
      </c>
      <c r="CI21" s="18">
        <v>215</v>
      </c>
      <c r="CJ21" s="18">
        <v>170</v>
      </c>
      <c r="CK21" s="18">
        <v>193</v>
      </c>
      <c r="CL21" s="18">
        <v>213</v>
      </c>
      <c r="CM21" s="18">
        <v>125</v>
      </c>
      <c r="CN21" s="18">
        <v>155</v>
      </c>
      <c r="CO21" s="18">
        <v>170</v>
      </c>
      <c r="CP21" s="18">
        <v>165</v>
      </c>
      <c r="CQ21" s="18">
        <v>136</v>
      </c>
      <c r="CR21" s="18">
        <v>150</v>
      </c>
      <c r="CS21" s="18">
        <v>111</v>
      </c>
      <c r="CT21" s="18">
        <v>179</v>
      </c>
      <c r="CU21" s="18">
        <v>160</v>
      </c>
      <c r="CV21" s="18">
        <v>178</v>
      </c>
      <c r="CW21" s="18"/>
      <c r="CX21" s="18"/>
      <c r="CY21" s="18"/>
      <c r="CZ21" s="18"/>
      <c r="DA21" s="18"/>
      <c r="DB21" s="18">
        <v>196</v>
      </c>
      <c r="DC21" s="18">
        <v>138</v>
      </c>
      <c r="DD21" s="18">
        <v>141</v>
      </c>
      <c r="DE21" s="18">
        <v>162</v>
      </c>
      <c r="DF21" s="18">
        <v>178</v>
      </c>
      <c r="DG21" s="18">
        <v>181</v>
      </c>
      <c r="DH21" s="18"/>
      <c r="DI21" s="18"/>
      <c r="DJ21" s="18"/>
      <c r="DK21" s="18">
        <v>118</v>
      </c>
      <c r="DL21" s="18">
        <v>125</v>
      </c>
      <c r="DM21" s="18">
        <v>157</v>
      </c>
      <c r="DN21" s="18"/>
      <c r="DO21" s="18"/>
      <c r="DP21" s="18"/>
      <c r="DQ21" s="18"/>
      <c r="DR21" s="18"/>
      <c r="DS21" s="18"/>
      <c r="DT21" s="18"/>
      <c r="DU21" s="18"/>
      <c r="DV21" s="18"/>
      <c r="DW21" s="18">
        <v>150</v>
      </c>
      <c r="DX21" s="18">
        <v>200</v>
      </c>
      <c r="DY21" s="18">
        <v>178</v>
      </c>
      <c r="DZ21" s="18"/>
      <c r="EA21" s="18"/>
      <c r="EB21" s="18"/>
      <c r="EC21" s="18">
        <v>158</v>
      </c>
      <c r="ED21" s="18">
        <v>201</v>
      </c>
      <c r="EE21" s="18">
        <v>147</v>
      </c>
      <c r="EF21" s="18"/>
      <c r="EG21" s="18"/>
      <c r="EH21" s="18"/>
      <c r="EI21" s="18">
        <v>153</v>
      </c>
      <c r="EJ21" s="18">
        <v>128</v>
      </c>
      <c r="EK21" s="18">
        <v>188</v>
      </c>
      <c r="EL21" s="18">
        <v>126</v>
      </c>
      <c r="EM21" s="18">
        <v>181</v>
      </c>
      <c r="EN21" s="18">
        <v>157</v>
      </c>
      <c r="EO21" s="18"/>
      <c r="EP21" s="18"/>
      <c r="EQ21" s="18"/>
      <c r="ER21" s="18"/>
      <c r="ES21" s="18"/>
      <c r="ET21" s="18"/>
      <c r="EU21" s="18"/>
      <c r="EV21" s="266" t="str">
        <f>A21</f>
        <v>이수용</v>
      </c>
      <c r="EW21" s="144">
        <f>IFERROR(SUM(ER21:ET21)/3,0)</f>
        <v>0</v>
      </c>
      <c r="EX21" s="266" t="str">
        <f>A21</f>
        <v>이수용</v>
      </c>
      <c r="EY21" s="144">
        <f>IFERROR(IF(COUNT($E21:EU21)&gt;20,(SUM( INDEX((($E21:EU21&lt;&gt;"")*COLUMN($E21:EU21)&lt;= LARGE(INDEX(($E21:EU21&lt;&gt;"")*COLUMN($E21:EU21),),1))*$E21:EU21,)) - SUM(INDEX((($E21:EU21&lt;&gt;"")*COLUMN($E21:EU21)&lt; LARGE(INDEX(($E21:EU21&lt;&gt;"")*COLUMN($E21:EU21),),20))*$E21:EU21,)))/20,SUM($E21:EU21)/COUNT($E21:EU21)),0)</f>
        <v>158.35</v>
      </c>
      <c r="EZ21" s="144">
        <f>IFERROR(IF(COUNT($E21:EU21)&gt;10,(SUM( INDEX((($E21:EU21&lt;&gt;"")*COLUMN($E21:EU21)&lt;= LARGE(INDEX(($E21:EU21&lt;&gt;"")*COLUMN($E21:EU21),),1))*$E21:EU21,)) - SUM(INDEX((($E21:EU21&lt;&gt;"")*COLUMN($E21:EU21)&lt; LARGE(INDEX(($E21:EU21&lt;&gt;"")*COLUMN($E21:EU21),),10))*$E21:EU21,)))/10,SUM($E21:EU21)/COUNT($E21:EU21)),0)</f>
        <v>161.69999999999999</v>
      </c>
      <c r="FA21" s="348">
        <f>EZ21-EY21</f>
        <v>3.3499999999999943</v>
      </c>
      <c r="FB21" s="163">
        <f>MAX(EX21:EX21)</f>
        <v>0</v>
      </c>
      <c r="FC21" s="361" t="s">
        <v>346</v>
      </c>
    </row>
    <row r="22" spans="1:159" ht="20.100000000000001" hidden="1" customHeight="1">
      <c r="A22" s="55" t="s">
        <v>61</v>
      </c>
      <c r="B22" s="55" t="s">
        <v>340</v>
      </c>
      <c r="C22" s="55" t="s">
        <v>156</v>
      </c>
      <c r="D22" s="18"/>
      <c r="E22" s="18">
        <v>191</v>
      </c>
      <c r="F22" s="18">
        <v>169</v>
      </c>
      <c r="G22" s="18">
        <v>165</v>
      </c>
      <c r="H22" s="18"/>
      <c r="I22" s="18"/>
      <c r="J22" s="18">
        <v>167</v>
      </c>
      <c r="K22" s="18">
        <v>181</v>
      </c>
      <c r="L22" s="18">
        <v>171</v>
      </c>
      <c r="M22" s="18"/>
      <c r="N22" s="18"/>
      <c r="O22" s="18"/>
      <c r="P22" s="18">
        <v>135</v>
      </c>
      <c r="Q22" s="18">
        <v>171</v>
      </c>
      <c r="R22" s="5"/>
      <c r="S22" s="13"/>
      <c r="T22" s="13"/>
      <c r="U22" s="13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>
        <v>189</v>
      </c>
      <c r="AP22" s="18">
        <v>141</v>
      </c>
      <c r="AQ22" s="18">
        <v>180</v>
      </c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5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266" t="str">
        <f>A22</f>
        <v>백종현</v>
      </c>
      <c r="EW22" s="144">
        <f>IFERROR(SUM(DH22:DJ22)/3,0)</f>
        <v>0</v>
      </c>
      <c r="EX22" s="266" t="str">
        <f>A22</f>
        <v>백종현</v>
      </c>
      <c r="EY22" s="144">
        <f>IFERROR(IF(COUNT($E22:EU22)&gt;20,(SUM( INDEX((($E22:EU22&lt;&gt;"")*COLUMN($E22:EU22)&lt;= LARGE(INDEX(($E22:EU22&lt;&gt;"")*COLUMN($E22:EU22),),1))*$E22:EU22,)) - SUM(INDEX((($E22:EU22&lt;&gt;"")*COLUMN($E22:EU22)&lt; LARGE(INDEX(($E22:EU22&lt;&gt;"")*COLUMN($E22:EU22),),20))*$E22:EU22,)))/20,SUM($E22:EU22)/COUNT($E22:EU22)),0)</f>
        <v>169.09090909090909</v>
      </c>
      <c r="EZ22" s="144">
        <f>IFERROR(IF(COUNT($E22:EU22)&gt;10,(SUM( INDEX((($E22:EU22&lt;&gt;"")*COLUMN($E22:EU22)&lt;= LARGE(INDEX(($E22:EU22&lt;&gt;"")*COLUMN($E22:EU22),),1))*$E22:EU22,)) - SUM(INDEX((($E22:EU22&lt;&gt;"")*COLUMN($E22:EU22)&lt; LARGE(INDEX(($E22:EU22&lt;&gt;"")*COLUMN($E22:EU22),),10))*$E22:EU22,)))/10,SUM($E22:EU22)/COUNT($E22:EU22)),0)</f>
        <v>166.9</v>
      </c>
      <c r="FA22" s="348">
        <f>EZ22-EY22</f>
        <v>-2.1909090909090878</v>
      </c>
      <c r="FB22" s="163">
        <f>MAX(EX22:EX22)</f>
        <v>0</v>
      </c>
      <c r="FC22" s="163"/>
    </row>
    <row r="23" spans="1:159" ht="20.100000000000001" customHeight="1">
      <c r="A23" s="55" t="s">
        <v>66</v>
      </c>
      <c r="B23" s="55" t="s">
        <v>191</v>
      </c>
      <c r="C23" s="55" t="s">
        <v>156</v>
      </c>
      <c r="D23" s="18"/>
      <c r="E23" s="18">
        <v>160</v>
      </c>
      <c r="F23" s="18">
        <v>164</v>
      </c>
      <c r="G23" s="18">
        <v>139</v>
      </c>
      <c r="H23" s="18">
        <v>164</v>
      </c>
      <c r="I23" s="20">
        <v>202</v>
      </c>
      <c r="J23" s="20">
        <v>214</v>
      </c>
      <c r="K23" s="18">
        <v>124</v>
      </c>
      <c r="L23" s="18">
        <v>140</v>
      </c>
      <c r="M23" s="18">
        <v>129</v>
      </c>
      <c r="N23" s="18">
        <v>169</v>
      </c>
      <c r="O23" s="18">
        <v>145</v>
      </c>
      <c r="P23" s="18">
        <v>148</v>
      </c>
      <c r="Q23" s="18">
        <v>132</v>
      </c>
      <c r="R23" s="5"/>
      <c r="S23" s="18">
        <v>175</v>
      </c>
      <c r="T23" s="18">
        <v>141</v>
      </c>
      <c r="U23" s="18">
        <v>116</v>
      </c>
      <c r="V23" s="18">
        <v>181</v>
      </c>
      <c r="W23" s="18">
        <v>165</v>
      </c>
      <c r="X23" s="18">
        <v>171</v>
      </c>
      <c r="Y23" s="18"/>
      <c r="Z23" s="18"/>
      <c r="AA23" s="18">
        <v>111</v>
      </c>
      <c r="AB23" s="18">
        <v>180</v>
      </c>
      <c r="AC23" s="71">
        <v>256</v>
      </c>
      <c r="AD23" s="18">
        <v>154</v>
      </c>
      <c r="AE23" s="18">
        <v>135</v>
      </c>
      <c r="AF23" s="18">
        <v>181</v>
      </c>
      <c r="AG23" s="18">
        <v>167</v>
      </c>
      <c r="AH23" s="18">
        <v>152</v>
      </c>
      <c r="AI23" s="18"/>
      <c r="AJ23" s="18"/>
      <c r="AK23" s="18"/>
      <c r="AL23" s="18">
        <v>162</v>
      </c>
      <c r="AM23" s="20">
        <v>216</v>
      </c>
      <c r="AN23" s="18">
        <v>127</v>
      </c>
      <c r="AO23" s="18"/>
      <c r="AP23" s="18"/>
      <c r="AQ23" s="18"/>
      <c r="AR23" s="28">
        <v>134</v>
      </c>
      <c r="AS23" s="28">
        <v>147</v>
      </c>
      <c r="AT23" s="28">
        <v>179</v>
      </c>
      <c r="AU23" s="18">
        <v>169</v>
      </c>
      <c r="AV23" s="18">
        <v>170</v>
      </c>
      <c r="AW23" s="18">
        <v>168</v>
      </c>
      <c r="AX23" s="18">
        <v>158</v>
      </c>
      <c r="AY23" s="18">
        <v>141</v>
      </c>
      <c r="AZ23" s="18">
        <v>155</v>
      </c>
      <c r="BA23" s="18"/>
      <c r="BB23" s="18"/>
      <c r="BC23" s="5"/>
      <c r="BD23" s="18">
        <v>138</v>
      </c>
      <c r="BE23" s="18">
        <v>147</v>
      </c>
      <c r="BF23" s="18">
        <v>152</v>
      </c>
      <c r="BG23" s="18">
        <v>116</v>
      </c>
      <c r="BH23" s="18">
        <v>157</v>
      </c>
      <c r="BI23" s="18">
        <v>144</v>
      </c>
      <c r="BJ23" s="18">
        <v>172</v>
      </c>
      <c r="BK23" s="18">
        <v>182</v>
      </c>
      <c r="BL23" s="18">
        <v>157</v>
      </c>
      <c r="BM23" s="18">
        <v>147</v>
      </c>
      <c r="BN23" s="18">
        <v>105</v>
      </c>
      <c r="BO23" s="18">
        <v>167</v>
      </c>
      <c r="BP23" s="18">
        <v>124</v>
      </c>
      <c r="BQ23" s="18">
        <v>126</v>
      </c>
      <c r="BR23" s="18">
        <v>138</v>
      </c>
      <c r="BS23" s="18">
        <v>121</v>
      </c>
      <c r="BT23" s="18">
        <v>148</v>
      </c>
      <c r="BU23" s="18">
        <v>103</v>
      </c>
      <c r="BV23" s="18">
        <v>142</v>
      </c>
      <c r="BW23" s="18">
        <v>135</v>
      </c>
      <c r="BX23" s="18">
        <v>197</v>
      </c>
      <c r="BY23" s="18">
        <v>182</v>
      </c>
      <c r="BZ23" s="18">
        <v>198</v>
      </c>
      <c r="CA23" s="18">
        <v>173</v>
      </c>
      <c r="CB23" s="18">
        <v>156</v>
      </c>
      <c r="CC23" s="18">
        <v>171</v>
      </c>
      <c r="CD23" s="18">
        <v>201</v>
      </c>
      <c r="CE23" s="18">
        <v>129</v>
      </c>
      <c r="CF23" s="18">
        <v>152</v>
      </c>
      <c r="CG23" s="18">
        <v>170</v>
      </c>
      <c r="CH23" s="18">
        <v>104</v>
      </c>
      <c r="CI23" s="18">
        <v>126</v>
      </c>
      <c r="CJ23" s="18">
        <v>177</v>
      </c>
      <c r="CK23" s="18">
        <v>147</v>
      </c>
      <c r="CL23" s="18">
        <v>128</v>
      </c>
      <c r="CM23" s="18">
        <v>113</v>
      </c>
      <c r="CN23" s="18">
        <v>144</v>
      </c>
      <c r="CO23" s="18">
        <v>115</v>
      </c>
      <c r="CP23" s="18">
        <v>133</v>
      </c>
      <c r="CQ23" s="18"/>
      <c r="CR23" s="18"/>
      <c r="CS23" s="18"/>
      <c r="CT23" s="18">
        <v>181</v>
      </c>
      <c r="CU23" s="18">
        <v>197</v>
      </c>
      <c r="CV23" s="18">
        <v>170</v>
      </c>
      <c r="CW23" s="18">
        <v>116</v>
      </c>
      <c r="CX23" s="18">
        <v>121</v>
      </c>
      <c r="CY23" s="18">
        <v>168</v>
      </c>
      <c r="CZ23" s="18"/>
      <c r="DA23" s="18"/>
      <c r="DB23" s="18"/>
      <c r="DC23" s="18"/>
      <c r="DD23" s="18"/>
      <c r="DE23" s="18">
        <v>147</v>
      </c>
      <c r="DF23" s="18">
        <v>150</v>
      </c>
      <c r="DG23" s="18">
        <v>126</v>
      </c>
      <c r="DH23" s="18"/>
      <c r="DI23" s="18"/>
      <c r="DJ23" s="18"/>
      <c r="DK23" s="18"/>
      <c r="DL23" s="18"/>
      <c r="DM23" s="18"/>
      <c r="DN23" s="18">
        <v>106</v>
      </c>
      <c r="DO23" s="18">
        <v>158</v>
      </c>
      <c r="DP23" s="18">
        <v>160</v>
      </c>
      <c r="DQ23" s="18">
        <v>150</v>
      </c>
      <c r="DR23" s="18">
        <v>146</v>
      </c>
      <c r="DS23" s="18">
        <v>176</v>
      </c>
      <c r="DT23" s="18">
        <v>122</v>
      </c>
      <c r="DU23" s="18">
        <v>140</v>
      </c>
      <c r="DV23" s="18">
        <v>160</v>
      </c>
      <c r="DW23" s="18"/>
      <c r="DX23" s="18"/>
      <c r="DY23" s="18"/>
      <c r="DZ23" s="18">
        <v>133</v>
      </c>
      <c r="EA23" s="18">
        <v>148</v>
      </c>
      <c r="EB23" s="18">
        <v>129</v>
      </c>
      <c r="EC23" s="18"/>
      <c r="ED23" s="18"/>
      <c r="EE23" s="18"/>
      <c r="EF23" s="18">
        <v>143</v>
      </c>
      <c r="EG23" s="18">
        <v>169</v>
      </c>
      <c r="EH23" s="18">
        <v>114</v>
      </c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266" t="str">
        <f>A23</f>
        <v>이강은</v>
      </c>
      <c r="EW23" s="144">
        <f>IFERROR(SUM(ER23:ET23)/3,0)</f>
        <v>0</v>
      </c>
      <c r="EX23" s="266" t="str">
        <f>A23</f>
        <v>이강은</v>
      </c>
      <c r="EY23" s="144">
        <f>IFERROR(IF(COUNT($E23:EU23)&gt;20,(SUM( INDEX((($E23:EU23&lt;&gt;"")*COLUMN($E23:EU23)&lt;= LARGE(INDEX(($E23:EU23&lt;&gt;"")*COLUMN($E23:EU23),),1))*$E23:EU23,)) - SUM(INDEX((($E23:EU23&lt;&gt;"")*COLUMN($E23:EU23)&lt; LARGE(INDEX(($E23:EU23&lt;&gt;"")*COLUMN($E23:EU23),),20))*$E23:EU23,)))/20,SUM($E23:EU23)/COUNT($E23:EU23)),0)</f>
        <v>143.30000000000001</v>
      </c>
      <c r="EZ23" s="144">
        <f>IFERROR(IF(COUNT($E23:EU23)&gt;10,(SUM( INDEX((($E23:EU23&lt;&gt;"")*COLUMN($E23:EU23)&lt;= LARGE(INDEX(($E23:EU23&lt;&gt;"")*COLUMN($E23:EU23),),1))*$E23:EU23,)) - SUM(INDEX((($E23:EU23&lt;&gt;"")*COLUMN($E23:EU23)&lt; LARGE(INDEX(($E23:EU23&lt;&gt;"")*COLUMN($E23:EU23),),10))*$E23:EU23,)))/10,SUM($E23:EU23)/COUNT($E23:EU23)),0)</f>
        <v>143.4</v>
      </c>
      <c r="FA23" s="348">
        <f>EZ23-EY23</f>
        <v>9.9999999999994316E-2</v>
      </c>
      <c r="FB23" s="163">
        <f>MAX(EX23:EX23)</f>
        <v>0</v>
      </c>
      <c r="FC23" s="361" t="s">
        <v>346</v>
      </c>
    </row>
    <row r="24" spans="1:159" ht="20.100000000000001" customHeight="1">
      <c r="A24" s="48" t="s">
        <v>468</v>
      </c>
      <c r="B24" s="48" t="s">
        <v>194</v>
      </c>
      <c r="C24" s="48" t="s">
        <v>156</v>
      </c>
      <c r="D24" s="49">
        <v>10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99">
        <f>172+D24</f>
        <v>182</v>
      </c>
      <c r="ED24" s="99">
        <f>146+D24</f>
        <v>156</v>
      </c>
      <c r="EE24" s="99">
        <f>137+D24</f>
        <v>147</v>
      </c>
      <c r="EF24" s="13">
        <v>145</v>
      </c>
      <c r="EG24" s="13">
        <v>117</v>
      </c>
      <c r="EH24" s="13">
        <v>125</v>
      </c>
      <c r="EI24" s="13">
        <f>91+D24</f>
        <v>101</v>
      </c>
      <c r="EJ24" s="13">
        <f>109+D24</f>
        <v>119</v>
      </c>
      <c r="EK24" s="13">
        <v>150</v>
      </c>
      <c r="EL24" s="13"/>
      <c r="EM24" s="13"/>
      <c r="EN24" s="13"/>
      <c r="EO24" s="13"/>
      <c r="EP24" s="13"/>
      <c r="EQ24" s="13"/>
      <c r="ER24" s="13"/>
      <c r="ES24" s="13"/>
      <c r="ET24" s="13"/>
      <c r="EU24" s="45"/>
      <c r="EV24" s="45"/>
      <c r="EW24" s="144">
        <f>IFERROR(SUM(ER24:ET24)/3,0)</f>
        <v>0</v>
      </c>
      <c r="EX24" s="315"/>
      <c r="EY24" s="144">
        <f>IFERROR(IF(COUNT($E24:EU24)&gt;20,(SUM( INDEX((($E24:EU24&lt;&gt;"")*COLUMN($E24:EU24)&lt;= LARGE(INDEX(($E24:EU24&lt;&gt;"")*COLUMN($E24:EU24),),1))*$E24:EU24,)) - SUM(INDEX((($E24:EU24&lt;&gt;"")*COLUMN($E24:EU24)&lt; LARGE(INDEX(($E24:EU24&lt;&gt;"")*COLUMN($E24:EU24),),20))*$E24:EU24,)))/20,SUM($E24:EU24)/COUNT($E24:EU24)),0)</f>
        <v>138</v>
      </c>
      <c r="EZ24" s="144">
        <f>IFERROR(IF(COUNT($E24:EU24)&gt;10,(SUM( INDEX((($E24:EU24&lt;&gt;"")*COLUMN($E24:EU24)&lt;= LARGE(INDEX(($E24:EU24&lt;&gt;"")*COLUMN($E24:EU24),),1))*$E24:EU24,)) - SUM(INDEX((($E24:EU24&lt;&gt;"")*COLUMN($E24:EU24)&lt; LARGE(INDEX(($E24:EU24&lt;&gt;"")*COLUMN($E24:EU24),),10))*$E24:EU24,)))/10,SUM($E24:EU24)/COUNT($E24:EU24)),0)</f>
        <v>138</v>
      </c>
      <c r="FA24" s="348">
        <f>EZ24-EY24</f>
        <v>0</v>
      </c>
      <c r="FC24" s="436" t="s">
        <v>346</v>
      </c>
    </row>
    <row r="25" spans="1:159" ht="20.100000000000001" customHeight="1">
      <c r="A25" s="55" t="s">
        <v>65</v>
      </c>
      <c r="B25" s="55" t="s">
        <v>191</v>
      </c>
      <c r="C25" s="55" t="s">
        <v>156</v>
      </c>
      <c r="D25" s="18"/>
      <c r="E25" s="18"/>
      <c r="F25" s="18"/>
      <c r="G25" s="18"/>
      <c r="H25" s="18">
        <v>187</v>
      </c>
      <c r="I25" s="18">
        <v>141</v>
      </c>
      <c r="J25" s="18"/>
      <c r="K25" s="18"/>
      <c r="L25" s="18"/>
      <c r="M25" s="18"/>
      <c r="N25" s="18"/>
      <c r="O25" s="18"/>
      <c r="P25" s="18">
        <v>158</v>
      </c>
      <c r="Q25" s="21">
        <v>204</v>
      </c>
      <c r="R25" s="5"/>
      <c r="S25" s="13"/>
      <c r="T25" s="13"/>
      <c r="U25" s="13"/>
      <c r="V25" s="18">
        <v>154</v>
      </c>
      <c r="W25" s="18">
        <v>167</v>
      </c>
      <c r="X25" s="18">
        <v>165</v>
      </c>
      <c r="Y25" s="70">
        <v>235</v>
      </c>
      <c r="Z25" s="20">
        <v>233</v>
      </c>
      <c r="AA25" s="18"/>
      <c r="AB25" s="18"/>
      <c r="AC25" s="18"/>
      <c r="AD25" s="18"/>
      <c r="AE25" s="18"/>
      <c r="AF25" s="69">
        <v>255</v>
      </c>
      <c r="AG25" s="58">
        <v>178</v>
      </c>
      <c r="AH25" s="69">
        <v>216</v>
      </c>
      <c r="AI25" s="18"/>
      <c r="AJ25" s="18"/>
      <c r="AK25" s="18"/>
      <c r="AL25" s="18"/>
      <c r="AM25" s="18"/>
      <c r="AN25" s="18"/>
      <c r="AO25" s="18">
        <v>191</v>
      </c>
      <c r="AP25" s="18">
        <v>197</v>
      </c>
      <c r="AQ25" s="18">
        <v>192</v>
      </c>
      <c r="AR25" s="18"/>
      <c r="AS25" s="18"/>
      <c r="AT25" s="18"/>
      <c r="AU25" s="18">
        <v>193</v>
      </c>
      <c r="AV25" s="18">
        <v>218</v>
      </c>
      <c r="AW25" s="18">
        <v>187</v>
      </c>
      <c r="AX25" s="18"/>
      <c r="AY25" s="18"/>
      <c r="AZ25" s="18"/>
      <c r="BA25" s="18"/>
      <c r="BB25" s="18"/>
      <c r="BC25" s="5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>
        <v>253</v>
      </c>
      <c r="DF25" s="18">
        <v>170</v>
      </c>
      <c r="DG25" s="18">
        <v>147</v>
      </c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>
        <v>288</v>
      </c>
      <c r="EJ25" s="18">
        <v>188</v>
      </c>
      <c r="EK25" s="18">
        <v>173</v>
      </c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266" t="str">
        <f>A25</f>
        <v>양근석</v>
      </c>
      <c r="EW25" s="144">
        <f>IFERROR(SUM(ER25:ET25)/3,0)</f>
        <v>0</v>
      </c>
      <c r="EX25" s="266" t="str">
        <f>A25</f>
        <v>양근석</v>
      </c>
      <c r="EY25" s="144">
        <f>IFERROR(IF(COUNT($E25:EU25)&gt;20,(SUM( INDEX((($E25:EU25&lt;&gt;"")*COLUMN($E25:EU25)&lt;= LARGE(INDEX(($E25:EU25&lt;&gt;"")*COLUMN($E25:EU25),),1))*$E25:EU25,)) - SUM(INDEX((($E25:EU25&lt;&gt;"")*COLUMN($E25:EU25)&lt; LARGE(INDEX(($E25:EU25&lt;&gt;"")*COLUMN($E25:EU25),),20))*$E25:EU25,)))/20,SUM($E25:EU25)/COUNT($E25:EU25)),0)</f>
        <v>200</v>
      </c>
      <c r="EZ25" s="144">
        <f>IFERROR(IF(COUNT($E25:EU25)&gt;10,(SUM( INDEX((($E25:EU25&lt;&gt;"")*COLUMN($E25:EU25)&lt;= LARGE(INDEX(($E25:EU25&lt;&gt;"")*COLUMN($E25:EU25),),1))*$E25:EU25,)) - SUM(INDEX((($E25:EU25&lt;&gt;"")*COLUMN($E25:EU25)&lt; LARGE(INDEX(($E25:EU25&lt;&gt;"")*COLUMN($E25:EU25),),10))*$E25:EU25,)))/10,SUM($E25:EU25)/COUNT($E25:EU25)),0)</f>
        <v>200.9</v>
      </c>
      <c r="FA25" s="348">
        <f>EZ25-EY25</f>
        <v>0.90000000000000568</v>
      </c>
      <c r="FB25" s="163">
        <f>MAX(EX25:EX25)</f>
        <v>0</v>
      </c>
      <c r="FC25" s="361" t="s">
        <v>346</v>
      </c>
    </row>
    <row r="26" spans="1:159" ht="20.100000000000001" hidden="1" customHeight="1">
      <c r="A26" s="56" t="s">
        <v>370</v>
      </c>
      <c r="B26" s="56" t="s">
        <v>469</v>
      </c>
      <c r="C26" s="56" t="s">
        <v>157</v>
      </c>
      <c r="D26" s="57">
        <v>15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99">
        <f>36+D26</f>
        <v>51</v>
      </c>
      <c r="DR26" s="99">
        <f>73+D26</f>
        <v>88</v>
      </c>
      <c r="DS26" s="99">
        <f>35+D26</f>
        <v>50</v>
      </c>
      <c r="DT26" s="99"/>
      <c r="DU26" s="99"/>
      <c r="DV26" s="99"/>
      <c r="DW26" s="99"/>
      <c r="DX26" s="99"/>
      <c r="DY26" s="99"/>
      <c r="DZ26" s="99"/>
      <c r="EA26" s="99"/>
      <c r="EB26" s="99"/>
      <c r="EC26" s="99"/>
      <c r="ED26" s="99"/>
      <c r="EE26" s="99"/>
      <c r="EF26" s="99"/>
      <c r="EG26" s="99"/>
      <c r="EH26" s="99"/>
      <c r="EI26" s="99"/>
      <c r="EJ26" s="99"/>
      <c r="EK26" s="99"/>
      <c r="EL26" s="99"/>
      <c r="EM26" s="99"/>
      <c r="EN26" s="99"/>
      <c r="EO26" s="99"/>
      <c r="EP26" s="99"/>
      <c r="EQ26" s="99"/>
      <c r="ER26" s="99"/>
      <c r="ES26" s="99"/>
      <c r="ET26" s="99"/>
      <c r="EU26" s="45"/>
      <c r="EV26" s="45"/>
      <c r="EW26" s="144">
        <f>IFERROR(SUM(EC26:EE26)/3,0)</f>
        <v>0</v>
      </c>
      <c r="EX26" s="266" t="str">
        <f>A26</f>
        <v>박시연</v>
      </c>
      <c r="EY26" s="144">
        <f>IFERROR(IF(COUNT($E26:EU26)&gt;20,(SUM( INDEX((($E26:EU26&lt;&gt;"")*COLUMN($E26:EU26)&lt;= LARGE(INDEX(($E26:EU26&lt;&gt;"")*COLUMN($E26:EU26),),1))*$E26:EU26,)) - SUM(INDEX((($E26:EU26&lt;&gt;"")*COLUMN($E26:EU26)&lt; LARGE(INDEX(($E26:EU26&lt;&gt;"")*COLUMN($E26:EU26),),20))*$E26:EU26,)))/20,SUM($E26:EU26)/COUNT($E26:EU26)),0)</f>
        <v>63</v>
      </c>
      <c r="EZ26" s="144">
        <f>IFERROR(IF(COUNT($E26:EU26)&gt;10,(SUM( INDEX((($E26:EU26&lt;&gt;"")*COLUMN($E26:EU26)&lt;= LARGE(INDEX(($E26:EU26&lt;&gt;"")*COLUMN($E26:EU26),),1))*$E26:EU26,)) - SUM(INDEX((($E26:EU26&lt;&gt;"")*COLUMN($E26:EU26)&lt; LARGE(INDEX(($E26:EU26&lt;&gt;"")*COLUMN($E26:EU26),),10))*$E26:EU26,)))/10,SUM($E26:EU26)/COUNT($E26:EU26)),0)</f>
        <v>63</v>
      </c>
      <c r="FA26" s="348">
        <f>EZ26-EY26</f>
        <v>0</v>
      </c>
      <c r="FC26" s="361" t="s">
        <v>346</v>
      </c>
    </row>
    <row r="27" spans="1:159" ht="20.100000000000001" customHeight="1">
      <c r="A27" s="55" t="s">
        <v>76</v>
      </c>
      <c r="B27" s="55" t="s">
        <v>191</v>
      </c>
      <c r="C27" s="55" t="s">
        <v>156</v>
      </c>
      <c r="D27" s="18"/>
      <c r="E27" s="18"/>
      <c r="F27" s="18"/>
      <c r="G27" s="18"/>
      <c r="H27" s="20">
        <v>222</v>
      </c>
      <c r="I27" s="18">
        <v>146</v>
      </c>
      <c r="J27" s="18">
        <v>139</v>
      </c>
      <c r="K27" s="18">
        <v>169</v>
      </c>
      <c r="L27" s="18">
        <v>170</v>
      </c>
      <c r="M27" s="20">
        <v>204</v>
      </c>
      <c r="N27" s="20">
        <v>202</v>
      </c>
      <c r="O27" s="18">
        <v>137</v>
      </c>
      <c r="P27" s="18">
        <v>170</v>
      </c>
      <c r="Q27" s="18">
        <v>162</v>
      </c>
      <c r="R27" s="5"/>
      <c r="S27" s="18">
        <v>181</v>
      </c>
      <c r="T27" s="20">
        <v>243</v>
      </c>
      <c r="U27" s="18">
        <v>156</v>
      </c>
      <c r="V27" s="18">
        <v>181</v>
      </c>
      <c r="W27" s="18">
        <v>144</v>
      </c>
      <c r="X27" s="18">
        <v>171</v>
      </c>
      <c r="Y27" s="79">
        <v>195</v>
      </c>
      <c r="Z27" s="18">
        <v>161</v>
      </c>
      <c r="AA27" s="20">
        <v>205</v>
      </c>
      <c r="AB27" s="18">
        <v>158</v>
      </c>
      <c r="AC27" s="18">
        <v>185</v>
      </c>
      <c r="AD27" s="18">
        <v>135</v>
      </c>
      <c r="AE27" s="18">
        <v>160</v>
      </c>
      <c r="AF27" s="58">
        <v>196</v>
      </c>
      <c r="AG27" s="58">
        <v>154</v>
      </c>
      <c r="AH27" s="58">
        <v>179</v>
      </c>
      <c r="AI27" s="18">
        <v>193</v>
      </c>
      <c r="AJ27" s="18">
        <v>192</v>
      </c>
      <c r="AK27" s="18">
        <v>186</v>
      </c>
      <c r="AL27" s="18">
        <v>185</v>
      </c>
      <c r="AM27" s="20">
        <v>208</v>
      </c>
      <c r="AN27" s="18">
        <v>143</v>
      </c>
      <c r="AO27" s="18">
        <v>188</v>
      </c>
      <c r="AP27" s="18">
        <v>181</v>
      </c>
      <c r="AQ27" s="18">
        <v>160</v>
      </c>
      <c r="AR27" s="28">
        <v>170</v>
      </c>
      <c r="AS27" s="28">
        <v>193</v>
      </c>
      <c r="AT27" s="28">
        <v>165</v>
      </c>
      <c r="AU27" s="18">
        <v>167</v>
      </c>
      <c r="AV27" s="18">
        <v>186</v>
      </c>
      <c r="AW27" s="18">
        <v>197</v>
      </c>
      <c r="AX27" s="18">
        <v>174</v>
      </c>
      <c r="AY27" s="18">
        <v>180</v>
      </c>
      <c r="AZ27" s="18">
        <v>191</v>
      </c>
      <c r="BA27" s="18">
        <v>141</v>
      </c>
      <c r="BB27" s="18">
        <v>159</v>
      </c>
      <c r="BC27" s="5"/>
      <c r="BD27" s="18">
        <v>171</v>
      </c>
      <c r="BE27" s="18">
        <v>170</v>
      </c>
      <c r="BF27" s="18">
        <v>184</v>
      </c>
      <c r="BG27" s="18">
        <v>203</v>
      </c>
      <c r="BH27" s="18">
        <v>143</v>
      </c>
      <c r="BI27" s="18">
        <v>147</v>
      </c>
      <c r="BJ27" s="18">
        <v>174</v>
      </c>
      <c r="BK27" s="18">
        <v>202</v>
      </c>
      <c r="BL27" s="18">
        <v>185</v>
      </c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>
        <v>181</v>
      </c>
      <c r="BZ27" s="18">
        <v>176</v>
      </c>
      <c r="CA27" s="18">
        <v>189</v>
      </c>
      <c r="CB27" s="18">
        <v>185</v>
      </c>
      <c r="CC27" s="18">
        <v>167</v>
      </c>
      <c r="CD27" s="18">
        <v>156</v>
      </c>
      <c r="CE27" s="18">
        <v>194</v>
      </c>
      <c r="CF27" s="18">
        <v>210</v>
      </c>
      <c r="CG27" s="18">
        <v>161</v>
      </c>
      <c r="CH27" s="18">
        <v>177</v>
      </c>
      <c r="CI27" s="18">
        <v>172</v>
      </c>
      <c r="CJ27" s="18">
        <v>202</v>
      </c>
      <c r="CK27" s="18">
        <v>220</v>
      </c>
      <c r="CL27" s="18">
        <v>165</v>
      </c>
      <c r="CM27" s="18">
        <v>182</v>
      </c>
      <c r="CN27" s="18">
        <v>183</v>
      </c>
      <c r="CO27" s="18">
        <v>184</v>
      </c>
      <c r="CP27" s="18">
        <v>192</v>
      </c>
      <c r="CQ27" s="18">
        <v>174</v>
      </c>
      <c r="CR27" s="18">
        <v>176</v>
      </c>
      <c r="CS27" s="18">
        <v>180</v>
      </c>
      <c r="CT27" s="18">
        <v>189</v>
      </c>
      <c r="CU27" s="18">
        <v>234</v>
      </c>
      <c r="CV27" s="18">
        <v>172</v>
      </c>
      <c r="CW27" s="18">
        <v>236</v>
      </c>
      <c r="CX27" s="18">
        <v>195</v>
      </c>
      <c r="CY27" s="18">
        <v>206</v>
      </c>
      <c r="CZ27" s="18"/>
      <c r="DA27" s="18"/>
      <c r="DB27" s="18">
        <v>145</v>
      </c>
      <c r="DC27" s="18">
        <v>170</v>
      </c>
      <c r="DD27" s="18">
        <v>164</v>
      </c>
      <c r="DE27" s="18">
        <v>177</v>
      </c>
      <c r="DF27" s="18">
        <v>165</v>
      </c>
      <c r="DG27" s="18">
        <v>151</v>
      </c>
      <c r="DH27" s="18">
        <v>196</v>
      </c>
      <c r="DI27" s="18">
        <v>141</v>
      </c>
      <c r="DJ27" s="18">
        <v>178</v>
      </c>
      <c r="DK27" s="18">
        <v>179</v>
      </c>
      <c r="DL27" s="18">
        <v>244</v>
      </c>
      <c r="DM27" s="18">
        <v>154</v>
      </c>
      <c r="DN27" s="336">
        <v>215</v>
      </c>
      <c r="DO27" s="18">
        <v>245</v>
      </c>
      <c r="DP27" s="18">
        <v>156</v>
      </c>
      <c r="DQ27" s="18">
        <v>169</v>
      </c>
      <c r="DR27" s="18">
        <v>223</v>
      </c>
      <c r="DS27" s="18">
        <v>186</v>
      </c>
      <c r="DT27" s="18">
        <v>181</v>
      </c>
      <c r="DU27" s="18">
        <v>185</v>
      </c>
      <c r="DV27" s="18">
        <v>150</v>
      </c>
      <c r="DW27" s="18">
        <v>215</v>
      </c>
      <c r="DX27" s="18">
        <v>149</v>
      </c>
      <c r="DY27" s="18">
        <v>177</v>
      </c>
      <c r="DZ27" s="18">
        <v>202</v>
      </c>
      <c r="EA27" s="18">
        <v>235</v>
      </c>
      <c r="EB27" s="18">
        <v>199</v>
      </c>
      <c r="EC27" s="18">
        <v>179</v>
      </c>
      <c r="ED27" s="18">
        <v>188</v>
      </c>
      <c r="EE27" s="18">
        <v>159</v>
      </c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266" t="str">
        <f>A27</f>
        <v>조문수</v>
      </c>
      <c r="EW27" s="144">
        <f>IFERROR(SUM(ER27:ET27)/3,0)</f>
        <v>0</v>
      </c>
      <c r="EX27" s="266" t="str">
        <f>A27</f>
        <v>조문수</v>
      </c>
      <c r="EY27" s="144">
        <f>IFERROR(IF(COUNT($E27:EU27)&gt;20,(SUM( INDEX((($E27:EU27&lt;&gt;"")*COLUMN($E27:EU27)&lt;= LARGE(INDEX(($E27:EU27&lt;&gt;"")*COLUMN($E27:EU27),),1))*$E27:EU27,)) - SUM(INDEX((($E27:EU27&lt;&gt;"")*COLUMN($E27:EU27)&lt; LARGE(INDEX(($E27:EU27&lt;&gt;"")*COLUMN($E27:EU27),),20))*$E27:EU27,)))/20,SUM($E27:EU27)/COUNT($E27:EU27)),0)</f>
        <v>190.55</v>
      </c>
      <c r="EZ27" s="144">
        <f>IFERROR(IF(COUNT($E27:EU27)&gt;10,(SUM( INDEX((($E27:EU27&lt;&gt;"")*COLUMN($E27:EU27)&lt;= LARGE(INDEX(($E27:EU27&lt;&gt;"")*COLUMN($E27:EU27),),1))*$E27:EU27,)) - SUM(INDEX((($E27:EU27&lt;&gt;"")*COLUMN($E27:EU27)&lt; LARGE(INDEX(($E27:EU27&lt;&gt;"")*COLUMN($E27:EU27),),10))*$E27:EU27,)))/10,SUM($E27:EU27)/COUNT($E27:EU27)),0)</f>
        <v>185.3</v>
      </c>
      <c r="FA27" s="348">
        <f>EZ27-EY27</f>
        <v>-5.25</v>
      </c>
      <c r="FB27" s="163">
        <f>MAX(EX27:EX27)</f>
        <v>0</v>
      </c>
      <c r="FC27" s="361" t="s">
        <v>493</v>
      </c>
    </row>
    <row r="28" spans="1:159" ht="19.5" customHeight="1">
      <c r="A28" s="55" t="s">
        <v>73</v>
      </c>
      <c r="B28" s="55" t="s">
        <v>191</v>
      </c>
      <c r="C28" s="55" t="s">
        <v>156</v>
      </c>
      <c r="D28" s="18"/>
      <c r="E28" s="18">
        <v>158</v>
      </c>
      <c r="F28" s="18">
        <v>139</v>
      </c>
      <c r="G28" s="18">
        <v>156</v>
      </c>
      <c r="H28" s="18">
        <v>139</v>
      </c>
      <c r="I28" s="18">
        <v>128</v>
      </c>
      <c r="J28" s="18">
        <v>140</v>
      </c>
      <c r="K28" s="18">
        <v>152</v>
      </c>
      <c r="L28" s="18">
        <v>144</v>
      </c>
      <c r="M28" s="18"/>
      <c r="N28" s="18"/>
      <c r="O28" s="18"/>
      <c r="P28" s="18">
        <v>157</v>
      </c>
      <c r="Q28" s="18">
        <v>190</v>
      </c>
      <c r="R28" s="5"/>
      <c r="S28" s="18">
        <v>171</v>
      </c>
      <c r="T28" s="18">
        <v>136</v>
      </c>
      <c r="U28" s="18">
        <v>199</v>
      </c>
      <c r="V28" s="18">
        <v>162</v>
      </c>
      <c r="W28" s="18">
        <v>160</v>
      </c>
      <c r="X28" s="18">
        <v>179</v>
      </c>
      <c r="Y28" s="18">
        <v>195</v>
      </c>
      <c r="Z28" s="18">
        <v>190</v>
      </c>
      <c r="AA28" s="18">
        <v>127</v>
      </c>
      <c r="AB28" s="18">
        <v>136</v>
      </c>
      <c r="AC28" s="18">
        <v>162</v>
      </c>
      <c r="AD28" s="18">
        <v>162</v>
      </c>
      <c r="AE28" s="20">
        <v>236</v>
      </c>
      <c r="AF28" s="58">
        <v>141</v>
      </c>
      <c r="AG28" s="58">
        <v>146</v>
      </c>
      <c r="AH28" s="58">
        <v>142</v>
      </c>
      <c r="AI28" s="18"/>
      <c r="AJ28" s="18"/>
      <c r="AK28" s="18"/>
      <c r="AL28" s="18">
        <v>158</v>
      </c>
      <c r="AM28" s="18">
        <v>110</v>
      </c>
      <c r="AN28" s="18">
        <v>160</v>
      </c>
      <c r="AO28" s="18"/>
      <c r="AP28" s="18"/>
      <c r="AQ28" s="18"/>
      <c r="AR28" s="28">
        <v>136</v>
      </c>
      <c r="AS28" s="28">
        <v>158</v>
      </c>
      <c r="AT28" s="28">
        <v>108</v>
      </c>
      <c r="AU28" s="18">
        <v>138</v>
      </c>
      <c r="AV28" s="18">
        <v>144</v>
      </c>
      <c r="AW28" s="18">
        <v>134</v>
      </c>
      <c r="AX28" s="18">
        <v>193</v>
      </c>
      <c r="AY28" s="18">
        <v>166</v>
      </c>
      <c r="AZ28" s="18">
        <v>168</v>
      </c>
      <c r="BA28" s="18"/>
      <c r="BB28" s="18"/>
      <c r="BC28" s="5"/>
      <c r="BD28" s="18">
        <v>136</v>
      </c>
      <c r="BE28" s="18">
        <v>167</v>
      </c>
      <c r="BF28" s="18">
        <v>151</v>
      </c>
      <c r="BG28" s="18">
        <v>143</v>
      </c>
      <c r="BH28" s="18">
        <v>184</v>
      </c>
      <c r="BI28" s="18">
        <v>182</v>
      </c>
      <c r="BJ28" s="18">
        <v>180</v>
      </c>
      <c r="BK28" s="18">
        <v>148</v>
      </c>
      <c r="BL28" s="18">
        <v>219</v>
      </c>
      <c r="BM28" s="18">
        <v>144</v>
      </c>
      <c r="BN28" s="18">
        <v>144</v>
      </c>
      <c r="BO28" s="18">
        <v>167</v>
      </c>
      <c r="BP28" s="18">
        <v>198</v>
      </c>
      <c r="BQ28" s="18">
        <v>157</v>
      </c>
      <c r="BR28" s="18">
        <v>177</v>
      </c>
      <c r="BS28" s="18"/>
      <c r="BT28" s="18"/>
      <c r="BU28" s="18"/>
      <c r="BV28" s="18"/>
      <c r="BW28" s="18"/>
      <c r="BX28" s="18"/>
      <c r="BY28" s="18">
        <v>135</v>
      </c>
      <c r="BZ28" s="18">
        <v>134</v>
      </c>
      <c r="CA28" s="18">
        <v>161</v>
      </c>
      <c r="CB28" s="18"/>
      <c r="CC28" s="18"/>
      <c r="CD28" s="18"/>
      <c r="CE28" s="18"/>
      <c r="CF28" s="18"/>
      <c r="CG28" s="18"/>
      <c r="CH28" s="18"/>
      <c r="CI28" s="18"/>
      <c r="CJ28" s="18"/>
      <c r="CK28" s="18">
        <v>135</v>
      </c>
      <c r="CL28" s="18">
        <v>155</v>
      </c>
      <c r="CM28" s="18">
        <v>133</v>
      </c>
      <c r="CN28" s="18"/>
      <c r="CO28" s="18"/>
      <c r="CP28" s="18"/>
      <c r="CQ28" s="18"/>
      <c r="CR28" s="18"/>
      <c r="CS28" s="18"/>
      <c r="CT28" s="18"/>
      <c r="CU28" s="18"/>
      <c r="CV28" s="18"/>
      <c r="CW28" s="18">
        <f>178</f>
        <v>178</v>
      </c>
      <c r="CX28" s="18">
        <v>149</v>
      </c>
      <c r="CY28" s="18">
        <v>141</v>
      </c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>
        <v>160</v>
      </c>
      <c r="DL28" s="18">
        <v>141</v>
      </c>
      <c r="DM28" s="18">
        <v>148</v>
      </c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>
        <v>164</v>
      </c>
      <c r="ED28" s="18">
        <v>194</v>
      </c>
      <c r="EE28" s="18">
        <v>159</v>
      </c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266" t="str">
        <f>A28</f>
        <v>전병기</v>
      </c>
      <c r="EW28" s="144">
        <f>IFERROR(SUM(ER28:ET28)/3,0)</f>
        <v>0</v>
      </c>
      <c r="EX28" s="266" t="str">
        <f>A28</f>
        <v>전병기</v>
      </c>
      <c r="EY28" s="144">
        <f>IFERROR(IF(COUNT($E28:EU28)&gt;20,(SUM( INDEX((($E28:EU28&lt;&gt;"")*COLUMN($E28:EU28)&lt;= LARGE(INDEX(($E28:EU28&lt;&gt;"")*COLUMN($E28:EU28),),1))*$E28:EU28,)) - SUM(INDEX((($E28:EU28&lt;&gt;"")*COLUMN($E28:EU28)&lt; LARGE(INDEX(($E28:EU28&lt;&gt;"")*COLUMN($E28:EU28),),20))*$E28:EU28,)))/20,SUM($E28:EU28)/COUNT($E28:EU28)),0)</f>
        <v>156.5</v>
      </c>
      <c r="EZ28" s="144">
        <f>IFERROR(IF(COUNT($E28:EU28)&gt;10,(SUM( INDEX((($E28:EU28&lt;&gt;"")*COLUMN($E28:EU28)&lt;= LARGE(INDEX(($E28:EU28&lt;&gt;"")*COLUMN($E28:EU28),),1))*$E28:EU28,)) - SUM(INDEX((($E28:EU28&lt;&gt;"")*COLUMN($E28:EU28)&lt; LARGE(INDEX(($E28:EU28&lt;&gt;"")*COLUMN($E28:EU28),),10))*$E28:EU28,)))/10,SUM($E28:EU28)/COUNT($E28:EU28)),0)</f>
        <v>156.69999999999999</v>
      </c>
      <c r="FA28" s="348">
        <f>EZ28-EY28</f>
        <v>0.19999999999998863</v>
      </c>
      <c r="FB28" s="163">
        <f>MAX(EX28:EX28)</f>
        <v>0</v>
      </c>
      <c r="FC28" s="361" t="s">
        <v>346</v>
      </c>
    </row>
    <row r="29" spans="1:159" ht="20.100000000000001" customHeight="1">
      <c r="A29" s="55" t="s">
        <v>247</v>
      </c>
      <c r="B29" s="55" t="s">
        <v>191</v>
      </c>
      <c r="C29" s="55" t="s">
        <v>156</v>
      </c>
      <c r="D29" s="18"/>
      <c r="E29" s="5"/>
      <c r="F29" s="5"/>
      <c r="G29" s="18"/>
      <c r="H29" s="18"/>
      <c r="I29" s="18"/>
      <c r="J29" s="18"/>
      <c r="K29" s="18"/>
      <c r="L29" s="18"/>
      <c r="M29" s="18"/>
      <c r="N29" s="17"/>
      <c r="O29" s="18"/>
      <c r="P29" s="18"/>
      <c r="Q29" s="144"/>
      <c r="R29" s="5"/>
      <c r="S29" s="5"/>
      <c r="T29" s="18"/>
      <c r="U29" s="18"/>
      <c r="V29" s="18"/>
      <c r="W29" s="18"/>
      <c r="X29" s="18"/>
      <c r="Y29" s="18"/>
      <c r="Z29" s="18"/>
      <c r="AA29" s="17"/>
      <c r="AB29" s="18"/>
      <c r="AC29" s="18"/>
      <c r="AD29" s="144"/>
      <c r="AE29" s="144"/>
      <c r="AF29" s="304"/>
      <c r="AG29" s="304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18"/>
      <c r="BT29" s="18"/>
      <c r="BU29" s="18"/>
      <c r="BV29" s="18">
        <v>163</v>
      </c>
      <c r="BW29" s="18">
        <v>200</v>
      </c>
      <c r="BX29" s="18">
        <v>201</v>
      </c>
      <c r="BY29" s="18"/>
      <c r="BZ29" s="18"/>
      <c r="CA29" s="18"/>
      <c r="CB29" s="18"/>
      <c r="CC29" s="18"/>
      <c r="CD29" s="18"/>
      <c r="CE29" s="18">
        <v>128</v>
      </c>
      <c r="CF29" s="18">
        <v>171</v>
      </c>
      <c r="CG29" s="18">
        <v>164</v>
      </c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>
        <v>131</v>
      </c>
      <c r="CX29" s="18">
        <v>166</v>
      </c>
      <c r="CY29" s="18">
        <v>156</v>
      </c>
      <c r="CZ29" s="18"/>
      <c r="DA29" s="18"/>
      <c r="DB29" s="18"/>
      <c r="DC29" s="18"/>
      <c r="DD29" s="18"/>
      <c r="DE29" s="18">
        <v>181</v>
      </c>
      <c r="DF29" s="18">
        <v>133</v>
      </c>
      <c r="DG29" s="18">
        <v>149</v>
      </c>
      <c r="DH29" s="18">
        <v>155</v>
      </c>
      <c r="DI29" s="18">
        <v>198</v>
      </c>
      <c r="DJ29" s="18">
        <v>182</v>
      </c>
      <c r="DK29" s="18"/>
      <c r="DL29" s="18"/>
      <c r="DM29" s="18"/>
      <c r="DN29" s="18">
        <v>129</v>
      </c>
      <c r="DO29" s="18">
        <v>158</v>
      </c>
      <c r="DP29" s="18">
        <v>160</v>
      </c>
      <c r="DQ29" s="18"/>
      <c r="DR29" s="18"/>
      <c r="DS29" s="18"/>
      <c r="DT29" s="18">
        <v>180</v>
      </c>
      <c r="DU29" s="18">
        <v>190</v>
      </c>
      <c r="DV29" s="18">
        <v>135</v>
      </c>
      <c r="DW29" s="18">
        <v>147</v>
      </c>
      <c r="DX29" s="18">
        <v>143</v>
      </c>
      <c r="DY29" s="18">
        <v>130</v>
      </c>
      <c r="DZ29" s="18">
        <v>140</v>
      </c>
      <c r="EA29" s="18">
        <v>179</v>
      </c>
      <c r="EB29" s="18">
        <v>141</v>
      </c>
      <c r="EC29" s="18"/>
      <c r="ED29" s="18"/>
      <c r="EE29" s="18"/>
      <c r="EF29" s="18"/>
      <c r="EG29" s="18"/>
      <c r="EH29" s="18"/>
      <c r="EI29" s="18"/>
      <c r="EJ29" s="18"/>
      <c r="EK29" s="18"/>
      <c r="EL29" s="18">
        <v>159</v>
      </c>
      <c r="EM29" s="18">
        <v>187</v>
      </c>
      <c r="EN29" s="18">
        <v>168</v>
      </c>
      <c r="EO29" s="18"/>
      <c r="EP29" s="18"/>
      <c r="EQ29" s="18"/>
      <c r="ER29" s="18"/>
      <c r="ES29" s="18"/>
      <c r="ET29" s="18"/>
      <c r="EU29" s="18"/>
      <c r="EV29" s="266" t="str">
        <f>A29</f>
        <v>이유재</v>
      </c>
      <c r="EW29" s="144">
        <f>IFERROR(SUM(ER29:ET29)/3,0)</f>
        <v>0</v>
      </c>
      <c r="EX29" s="266" t="str">
        <f>A29</f>
        <v>이유재</v>
      </c>
      <c r="EY29" s="144">
        <f>IFERROR(IF(COUNT($E29:EU29)&gt;20,(SUM( INDEX((($E29:EU29&lt;&gt;"")*COLUMN($E29:EU29)&lt;= LARGE(INDEX(($E29:EU29&lt;&gt;"")*COLUMN($E29:EU29),),1))*$E29:EU29,)) - SUM(INDEX((($E29:EU29&lt;&gt;"")*COLUMN($E29:EU29)&lt; LARGE(INDEX(($E29:EU29&lt;&gt;"")*COLUMN($E29:EU29),),20))*$E29:EU29,)))/20,SUM($E29:EU29)/COUNT($E29:EU29)),0)</f>
        <v>158.15</v>
      </c>
      <c r="EZ29" s="144">
        <f>IFERROR(IF(COUNT($E29:EU29)&gt;10,(SUM( INDEX((($E29:EU29&lt;&gt;"")*COLUMN($E29:EU29)&lt;= LARGE(INDEX(($E29:EU29&lt;&gt;"")*COLUMN($E29:EU29),),1))*$E29:EU29,)) - SUM(INDEX((($E29:EU29&lt;&gt;"")*COLUMN($E29:EU29)&lt; LARGE(INDEX(($E29:EU29&lt;&gt;"")*COLUMN($E29:EU29),),10))*$E29:EU29,)))/10,SUM($E29:EU29)/COUNT($E29:EU29)),0)</f>
        <v>152.9</v>
      </c>
      <c r="FA29" s="348">
        <f>EZ29-EY29</f>
        <v>-5.25</v>
      </c>
      <c r="FB29" s="163">
        <f>MAX(EX29:EX29)</f>
        <v>0</v>
      </c>
      <c r="FC29" s="6" t="s">
        <v>346</v>
      </c>
    </row>
    <row r="30" spans="1:159" ht="20.100000000000001" hidden="1" customHeight="1">
      <c r="A30" s="48" t="s">
        <v>64</v>
      </c>
      <c r="B30" s="48" t="s">
        <v>266</v>
      </c>
      <c r="C30" s="48" t="s">
        <v>156</v>
      </c>
      <c r="D30" s="49">
        <v>10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5"/>
      <c r="S30" s="13"/>
      <c r="T30" s="13"/>
      <c r="U30" s="13"/>
      <c r="V30" s="68">
        <v>115</v>
      </c>
      <c r="W30" s="68">
        <v>133</v>
      </c>
      <c r="X30" s="68">
        <v>167</v>
      </c>
      <c r="Y30" s="18"/>
      <c r="Z30" s="18"/>
      <c r="AA30" s="61"/>
      <c r="AB30" s="61"/>
      <c r="AC30" s="61"/>
      <c r="AD30" s="61"/>
      <c r="AE30" s="61"/>
      <c r="AF30" s="58"/>
      <c r="AG30" s="58"/>
      <c r="AH30" s="58"/>
      <c r="AI30" s="18"/>
      <c r="AJ30" s="18"/>
      <c r="AK30" s="18"/>
      <c r="AL30" s="18">
        <v>129</v>
      </c>
      <c r="AM30" s="18">
        <v>112</v>
      </c>
      <c r="AN30" s="18">
        <v>121</v>
      </c>
      <c r="AO30" s="18">
        <v>134</v>
      </c>
      <c r="AP30" s="18">
        <v>102</v>
      </c>
      <c r="AQ30" s="18">
        <v>122</v>
      </c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5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44">
        <f>IFERROR(SUM(DE30:DG30)/3,0)</f>
        <v>0</v>
      </c>
      <c r="EX30" s="337"/>
      <c r="EY30" s="144">
        <f>IFERROR(IF(COUNT($E30:EU30)&gt;20,(SUM( INDEX((($E30:EU30&lt;&gt;"")*COLUMN($E30:EU30)&lt;= LARGE(INDEX(($E30:EU30&lt;&gt;"")*COLUMN($E30:EU30),),1))*$E30:EU30,)) - SUM(INDEX((($E30:EU30&lt;&gt;"")*COLUMN($E30:EU30)&lt; LARGE(INDEX(($E30:EU30&lt;&gt;"")*COLUMN($E30:EU30),),20))*$E30:EU30,)))/20,SUM($E30:EU30)/COUNT($E30:EU30)),0)</f>
        <v>126.11111111111111</v>
      </c>
      <c r="EZ30" s="144">
        <f>IFERROR(IF(COUNT($E30:EU30)&gt;10,(SUM( INDEX((($E30:EU30&lt;&gt;"")*COLUMN($E30:EU30)&lt;= LARGE(INDEX(($E30:EU30&lt;&gt;"")*COLUMN($E30:EU30),),1))*$E30:EU30,)) - SUM(INDEX((($E30:EU30&lt;&gt;"")*COLUMN($E30:EU30)&lt; LARGE(INDEX(($E30:EU30&lt;&gt;"")*COLUMN($E30:EU30),),10))*$E30:EU30,)))/10,SUM($E30:EU30)/COUNT($E30:EU30)),0)</f>
        <v>126.11111111111111</v>
      </c>
      <c r="FA30" s="348">
        <f>EZ30-EY30</f>
        <v>0</v>
      </c>
      <c r="FB30" s="163">
        <f>MAX(EX30:EX30)</f>
        <v>0</v>
      </c>
      <c r="FC30" s="163"/>
    </row>
    <row r="31" spans="1:159" ht="20.100000000000001" hidden="1" customHeight="1">
      <c r="A31" s="55" t="s">
        <v>53</v>
      </c>
      <c r="B31" s="55" t="s">
        <v>192</v>
      </c>
      <c r="C31" s="55" t="s">
        <v>355</v>
      </c>
      <c r="D31" s="18">
        <v>15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5"/>
      <c r="S31" s="15"/>
      <c r="T31" s="15"/>
      <c r="U31" s="15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>
        <v>95</v>
      </c>
      <c r="AP31" s="18">
        <v>114</v>
      </c>
      <c r="AQ31" s="18">
        <v>109</v>
      </c>
      <c r="AR31" s="28">
        <v>140</v>
      </c>
      <c r="AS31" s="28">
        <v>128</v>
      </c>
      <c r="AT31" s="28">
        <v>89</v>
      </c>
      <c r="AU31" s="18">
        <v>139</v>
      </c>
      <c r="AV31" s="18">
        <v>122</v>
      </c>
      <c r="AW31" s="18">
        <v>124</v>
      </c>
      <c r="AX31" s="14"/>
      <c r="AY31" s="14"/>
      <c r="AZ31" s="14"/>
      <c r="BA31" s="14"/>
      <c r="BB31" s="14"/>
      <c r="BC31" s="5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4">
        <f>IFERROR(SUM(DE31:DG31)/3,0)</f>
        <v>0</v>
      </c>
      <c r="EX31" s="338"/>
      <c r="EY31" s="144">
        <f>IFERROR(IF(COUNT($E31:EU31)&gt;20,(SUM( INDEX((($E31:EU31&lt;&gt;"")*COLUMN($E31:EU31)&lt;= LARGE(INDEX(($E31:EU31&lt;&gt;"")*COLUMN($E31:EU31),),1))*$E31:EU31,)) - SUM(INDEX((($E31:EU31&lt;&gt;"")*COLUMN($E31:EU31)&lt; LARGE(INDEX(($E31:EU31&lt;&gt;"")*COLUMN($E31:EU31),),20))*$E31:EU31,)))/20,SUM($E31:EU31)/COUNT($E31:EU31)),0)</f>
        <v>117.77777777777777</v>
      </c>
      <c r="EZ31" s="144">
        <f>IFERROR(IF(COUNT($E31:EU31)&gt;10,(SUM( INDEX((($E31:EU31&lt;&gt;"")*COLUMN($E31:EU31)&lt;= LARGE(INDEX(($E31:EU31&lt;&gt;"")*COLUMN($E31:EU31),),1))*$E31:EU31,)) - SUM(INDEX((($E31:EU31&lt;&gt;"")*COLUMN($E31:EU31)&lt; LARGE(INDEX(($E31:EU31&lt;&gt;"")*COLUMN($E31:EU31),),10))*$E31:EU31,)))/10,SUM($E31:EU31)/COUNT($E31:EU31)),0)</f>
        <v>117.77777777777777</v>
      </c>
      <c r="FA31" s="348">
        <f>EZ31-EY31</f>
        <v>0</v>
      </c>
      <c r="FB31"/>
      <c r="FC31"/>
    </row>
    <row r="32" spans="1:159" ht="20.100000000000001" hidden="1" customHeight="1">
      <c r="A32" s="48" t="s">
        <v>48</v>
      </c>
      <c r="B32" s="48" t="s">
        <v>193</v>
      </c>
      <c r="C32" s="48" t="s">
        <v>356</v>
      </c>
      <c r="D32" s="49">
        <v>10</v>
      </c>
      <c r="E32" s="50">
        <v>137</v>
      </c>
      <c r="F32" s="50">
        <v>102</v>
      </c>
      <c r="G32" s="50">
        <v>103</v>
      </c>
      <c r="H32" s="50">
        <v>119</v>
      </c>
      <c r="I32" s="50">
        <v>85</v>
      </c>
      <c r="J32" s="50"/>
      <c r="K32" s="50"/>
      <c r="L32" s="50"/>
      <c r="M32" s="50"/>
      <c r="N32" s="50"/>
      <c r="O32" s="50"/>
      <c r="P32" s="50">
        <v>131</v>
      </c>
      <c r="Q32" s="50">
        <v>100</v>
      </c>
      <c r="R32" s="339"/>
      <c r="S32" s="50">
        <v>108</v>
      </c>
      <c r="T32" s="50">
        <v>101</v>
      </c>
      <c r="U32" s="50">
        <v>140</v>
      </c>
      <c r="V32" s="54">
        <v>117</v>
      </c>
      <c r="W32" s="54">
        <v>103</v>
      </c>
      <c r="X32" s="54">
        <v>151</v>
      </c>
      <c r="Y32" s="50"/>
      <c r="Z32" s="50"/>
      <c r="AA32" s="53"/>
      <c r="AB32" s="53"/>
      <c r="AC32" s="53"/>
      <c r="AD32" s="53"/>
      <c r="AE32" s="53"/>
      <c r="AF32" s="52"/>
      <c r="AG32" s="52"/>
      <c r="AH32" s="52"/>
      <c r="AI32" s="50">
        <f>108+10</f>
        <v>118</v>
      </c>
      <c r="AJ32" s="50">
        <f>110+10</f>
        <v>120</v>
      </c>
      <c r="AK32" s="50">
        <f>98+10</f>
        <v>108</v>
      </c>
      <c r="AL32" s="51"/>
      <c r="AM32" s="51"/>
      <c r="AN32" s="51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50"/>
      <c r="DO32" s="50"/>
      <c r="DP32" s="50"/>
      <c r="DQ32" s="50"/>
      <c r="DR32" s="50"/>
      <c r="DS32" s="50"/>
      <c r="DT32" s="50"/>
      <c r="DU32" s="50"/>
      <c r="DV32" s="50"/>
      <c r="DW32" s="50"/>
      <c r="DX32" s="50"/>
      <c r="DY32" s="50"/>
      <c r="DZ32" s="50"/>
      <c r="EA32" s="50"/>
      <c r="EB32" s="50"/>
      <c r="EC32" s="50"/>
      <c r="ED32" s="50"/>
      <c r="EE32" s="50"/>
      <c r="EF32" s="50"/>
      <c r="EG32" s="50"/>
      <c r="EH32" s="50"/>
      <c r="EI32" s="50"/>
      <c r="EJ32" s="50"/>
      <c r="EK32" s="50"/>
      <c r="EL32" s="50"/>
      <c r="EM32" s="50"/>
      <c r="EN32" s="50"/>
      <c r="EO32" s="50"/>
      <c r="EP32" s="50"/>
      <c r="EQ32" s="50"/>
      <c r="ER32" s="50"/>
      <c r="ES32" s="50"/>
      <c r="ET32" s="50"/>
      <c r="EU32" s="50"/>
      <c r="EV32" s="50"/>
      <c r="EW32" s="144">
        <f>IFERROR(SUM(DE32:DG32)/3,0)</f>
        <v>0</v>
      </c>
      <c r="EX32" s="340"/>
      <c r="EY32" s="144">
        <f>IFERROR(IF(COUNT($E32:EU32)&gt;20,(SUM( INDEX((($E32:EU32&lt;&gt;"")*COLUMN($E32:EU32)&lt;= LARGE(INDEX(($E32:EU32&lt;&gt;"")*COLUMN($E32:EU32),),1))*$E32:EU32,)) - SUM(INDEX((($E32:EU32&lt;&gt;"")*COLUMN($E32:EU32)&lt; LARGE(INDEX(($E32:EU32&lt;&gt;"")*COLUMN($E32:EU32),),20))*$E32:EU32,)))/20,SUM($E32:EU32)/COUNT($E32:EU32)),0)</f>
        <v>115.1875</v>
      </c>
      <c r="EZ32" s="144">
        <f>IFERROR(IF(COUNT($E32:EU32)&gt;10,(SUM( INDEX((($E32:EU32&lt;&gt;"")*COLUMN($E32:EU32)&lt;= LARGE(INDEX(($E32:EU32&lt;&gt;"")*COLUMN($E32:EU32),),1))*$E32:EU32,)) - SUM(INDEX((($E32:EU32&lt;&gt;"")*COLUMN($E32:EU32)&lt; LARGE(INDEX(($E32:EU32&lt;&gt;"")*COLUMN($E32:EU32),),10))*$E32:EU32,)))/10,SUM($E32:EU32)/COUNT($E32:EU32)),0)</f>
        <v>116.6</v>
      </c>
      <c r="FA32" s="348">
        <f>EZ32-EY32</f>
        <v>1.4124999999999943</v>
      </c>
      <c r="FB32"/>
      <c r="FC32"/>
    </row>
    <row r="33" spans="1:159" ht="19.5" customHeight="1">
      <c r="A33" s="55" t="s">
        <v>50</v>
      </c>
      <c r="B33" s="55" t="s">
        <v>191</v>
      </c>
      <c r="C33" s="55" t="s">
        <v>155</v>
      </c>
      <c r="D33" s="18"/>
      <c r="E33" s="18"/>
      <c r="F33" s="18"/>
      <c r="G33" s="18"/>
      <c r="H33" s="18">
        <v>141</v>
      </c>
      <c r="I33" s="18">
        <v>202</v>
      </c>
      <c r="J33" s="18">
        <v>124</v>
      </c>
      <c r="K33" s="18">
        <v>168</v>
      </c>
      <c r="L33" s="18">
        <v>169</v>
      </c>
      <c r="M33" s="18"/>
      <c r="N33" s="18"/>
      <c r="O33" s="18"/>
      <c r="P33" s="18"/>
      <c r="Q33" s="18"/>
      <c r="R33" s="5"/>
      <c r="S33" s="13"/>
      <c r="T33" s="13"/>
      <c r="U33" s="13"/>
      <c r="V33" s="18"/>
      <c r="W33" s="18"/>
      <c r="X33" s="18"/>
      <c r="Y33" s="18">
        <v>120</v>
      </c>
      <c r="Z33" s="18">
        <v>165</v>
      </c>
      <c r="AA33" s="18">
        <v>175</v>
      </c>
      <c r="AB33" s="18">
        <v>166</v>
      </c>
      <c r="AC33" s="18">
        <v>199</v>
      </c>
      <c r="AD33" s="20">
        <v>225</v>
      </c>
      <c r="AE33" s="18">
        <v>171</v>
      </c>
      <c r="AF33" s="18">
        <v>151</v>
      </c>
      <c r="AG33" s="18">
        <v>159</v>
      </c>
      <c r="AH33" s="18">
        <v>145</v>
      </c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>
        <v>139</v>
      </c>
      <c r="AV33" s="18">
        <v>138</v>
      </c>
      <c r="AW33" s="18">
        <v>145</v>
      </c>
      <c r="AX33" s="18">
        <v>175</v>
      </c>
      <c r="AY33" s="18">
        <v>137</v>
      </c>
      <c r="AZ33" s="18">
        <v>142</v>
      </c>
      <c r="BA33" s="18"/>
      <c r="BB33" s="18"/>
      <c r="BC33" s="5"/>
      <c r="BD33" s="18"/>
      <c r="BE33" s="18"/>
      <c r="BF33" s="18"/>
      <c r="BG33" s="18"/>
      <c r="BH33" s="18"/>
      <c r="BI33" s="18"/>
      <c r="BJ33" s="18">
        <v>182</v>
      </c>
      <c r="BK33" s="18">
        <v>162</v>
      </c>
      <c r="BL33" s="18">
        <v>130</v>
      </c>
      <c r="BM33" s="18"/>
      <c r="BN33" s="18"/>
      <c r="BO33" s="18"/>
      <c r="BP33" s="18"/>
      <c r="BQ33" s="18"/>
      <c r="BR33" s="18"/>
      <c r="BS33" s="18"/>
      <c r="BT33" s="18"/>
      <c r="BU33" s="18"/>
      <c r="BV33" s="18">
        <v>204</v>
      </c>
      <c r="BW33" s="18">
        <v>184</v>
      </c>
      <c r="BX33" s="18">
        <v>162</v>
      </c>
      <c r="BY33" s="18">
        <v>187</v>
      </c>
      <c r="BZ33" s="18">
        <v>102</v>
      </c>
      <c r="CA33" s="18">
        <v>139</v>
      </c>
      <c r="CB33" s="18"/>
      <c r="CC33" s="18"/>
      <c r="CD33" s="18"/>
      <c r="CE33" s="18"/>
      <c r="CF33" s="18"/>
      <c r="CG33" s="18"/>
      <c r="CH33" s="18">
        <v>142</v>
      </c>
      <c r="CI33" s="18">
        <v>170</v>
      </c>
      <c r="CJ33" s="18">
        <v>203</v>
      </c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>
        <v>159</v>
      </c>
      <c r="CX33" s="18">
        <v>192</v>
      </c>
      <c r="CY33" s="18">
        <v>112</v>
      </c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>
        <v>139</v>
      </c>
      <c r="DR33" s="18">
        <v>146</v>
      </c>
      <c r="DS33" s="18">
        <v>186</v>
      </c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266" t="str">
        <f>A33</f>
        <v>김기선</v>
      </c>
      <c r="EW33" s="144">
        <f>IFERROR(SUM(ER33:ET33)/3,0)</f>
        <v>0</v>
      </c>
      <c r="EX33" s="266" t="str">
        <f>A33</f>
        <v>김기선</v>
      </c>
      <c r="EY33" s="144">
        <f>IFERROR(IF(COUNT($E33:EU33)&gt;20,(SUM( INDEX((($E33:EU33&lt;&gt;"")*COLUMN($E33:EU33)&lt;= LARGE(INDEX(($E33:EU33&lt;&gt;"")*COLUMN($E33:EU33),),1))*$E33:EU33,)) - SUM(INDEX((($E33:EU33&lt;&gt;"")*COLUMN($E33:EU33)&lt; LARGE(INDEX(($E33:EU33&lt;&gt;"")*COLUMN($E33:EU33),),20))*$E33:EU33,)))/20,SUM($E33:EU33)/COUNT($E33:EU33)),0)</f>
        <v>159</v>
      </c>
      <c r="EZ33" s="144">
        <f>IFERROR(IF(COUNT($E33:EU33)&gt;10,(SUM( INDEX((($E33:EU33&lt;&gt;"")*COLUMN($E33:EU33)&lt;= LARGE(INDEX(($E33:EU33&lt;&gt;"")*COLUMN($E33:EU33),),1))*$E33:EU33,)) - SUM(INDEX((($E33:EU33&lt;&gt;"")*COLUMN($E33:EU33)&lt; LARGE(INDEX(($E33:EU33&lt;&gt;"")*COLUMN($E33:EU33),),10))*$E33:EU33,)))/10,SUM($E33:EU33)/COUNT($E33:EU33)),0)</f>
        <v>158.80000000000001</v>
      </c>
      <c r="FA33" s="348">
        <f>EZ33-EY33</f>
        <v>-0.19999999999998863</v>
      </c>
      <c r="FB33" s="163">
        <f>MAX(EX33:EX33)</f>
        <v>0</v>
      </c>
      <c r="FC33" s="361" t="s">
        <v>346</v>
      </c>
    </row>
    <row r="34" spans="1:159" ht="20.100000000000001" hidden="1" customHeight="1">
      <c r="A34" s="59" t="s">
        <v>70</v>
      </c>
      <c r="B34" s="59" t="s">
        <v>236</v>
      </c>
      <c r="C34" s="59" t="s">
        <v>157</v>
      </c>
      <c r="D34" s="60">
        <v>12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5"/>
      <c r="S34" s="15"/>
      <c r="T34" s="15"/>
      <c r="U34" s="15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>
        <v>84</v>
      </c>
      <c r="AP34" s="18">
        <v>80</v>
      </c>
      <c r="AQ34" s="18">
        <v>131</v>
      </c>
      <c r="AR34" s="28">
        <v>102</v>
      </c>
      <c r="AS34" s="28">
        <v>99</v>
      </c>
      <c r="AT34" s="28">
        <v>141</v>
      </c>
      <c r="AU34" s="18">
        <v>132</v>
      </c>
      <c r="AV34" s="18">
        <v>112</v>
      </c>
      <c r="AW34" s="18">
        <v>97</v>
      </c>
      <c r="AX34" s="14">
        <v>125</v>
      </c>
      <c r="AY34" s="14">
        <v>93</v>
      </c>
      <c r="AZ34" s="14">
        <v>81</v>
      </c>
      <c r="BA34" s="14"/>
      <c r="BB34" s="14"/>
      <c r="BC34" s="5"/>
      <c r="BD34" s="14"/>
      <c r="BE34" s="14"/>
      <c r="BF34" s="14"/>
      <c r="BG34" s="14"/>
      <c r="BH34" s="14"/>
      <c r="BI34" s="14"/>
      <c r="BJ34" s="14"/>
      <c r="BK34" s="14"/>
      <c r="BL34" s="14"/>
      <c r="BM34" s="18">
        <v>115</v>
      </c>
      <c r="BN34" s="18">
        <v>138</v>
      </c>
      <c r="BO34" s="18">
        <v>141</v>
      </c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4">
        <f>IFERROR(SUM(DE34:DG34)/3,0)</f>
        <v>0</v>
      </c>
      <c r="EX34" s="338"/>
      <c r="EY34" s="144">
        <f>IFERROR(IF(COUNT($E34:EU34)&gt;20,(SUM( INDEX((($E34:EU34&lt;&gt;"")*COLUMN($E34:EU34)&lt;= LARGE(INDEX(($E34:EU34&lt;&gt;"")*COLUMN($E34:EU34),),1))*$E34:EU34,)) - SUM(INDEX((($E34:EU34&lt;&gt;"")*COLUMN($E34:EU34)&lt; LARGE(INDEX(($E34:EU34&lt;&gt;"")*COLUMN($E34:EU34),),20))*$E34:EU34,)))/20,SUM($E34:EU34)/COUNT($E34:EU34)),0)</f>
        <v>111.4</v>
      </c>
      <c r="EZ34" s="144">
        <f>IFERROR(IF(COUNT($E34:EU34)&gt;10,(SUM( INDEX((($E34:EU34&lt;&gt;"")*COLUMN($E34:EU34)&lt;= LARGE(INDEX(($E34:EU34&lt;&gt;"")*COLUMN($E34:EU34),),1))*$E34:EU34,)) - SUM(INDEX((($E34:EU34&lt;&gt;"")*COLUMN($E34:EU34)&lt; LARGE(INDEX(($E34:EU34&lt;&gt;"")*COLUMN($E34:EU34),),10))*$E34:EU34,)))/10,SUM($E34:EU34)/COUNT($E34:EU34)),0)</f>
        <v>117.5</v>
      </c>
      <c r="FA34" s="348">
        <f>EZ34-EY34</f>
        <v>6.0999999999999943</v>
      </c>
      <c r="FB34" s="163">
        <f>MAX(EX34:EX34)</f>
        <v>0</v>
      </c>
      <c r="FC34" s="163"/>
    </row>
    <row r="35" spans="1:159" ht="20.100000000000001" hidden="1" customHeight="1">
      <c r="A35" s="72" t="s">
        <v>67</v>
      </c>
      <c r="B35" s="55" t="s">
        <v>192</v>
      </c>
      <c r="C35" s="55" t="s">
        <v>156</v>
      </c>
      <c r="D35" s="73">
        <v>10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5"/>
      <c r="S35" s="15"/>
      <c r="T35" s="15"/>
      <c r="U35" s="15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>
        <v>111</v>
      </c>
      <c r="AV35" s="14">
        <v>88</v>
      </c>
      <c r="AW35" s="14">
        <v>120</v>
      </c>
      <c r="AX35" s="14"/>
      <c r="AY35" s="14"/>
      <c r="AZ35" s="14"/>
      <c r="BA35" s="14"/>
      <c r="BB35" s="14"/>
      <c r="BC35" s="5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4">
        <f>IFERROR(SUM(DE35:DG35)/3,0)</f>
        <v>0</v>
      </c>
      <c r="EX35" s="338"/>
      <c r="EY35" s="144">
        <f>IFERROR(IF(COUNT($E35:EU35)&gt;20,(SUM( INDEX((($E35:EU35&lt;&gt;"")*COLUMN($E35:EU35)&lt;= LARGE(INDEX(($E35:EU35&lt;&gt;"")*COLUMN($E35:EU35),),1))*$E35:EU35,)) - SUM(INDEX((($E35:EU35&lt;&gt;"")*COLUMN($E35:EU35)&lt; LARGE(INDEX(($E35:EU35&lt;&gt;"")*COLUMN($E35:EU35),),20))*$E35:EU35,)))/20,SUM($E35:EU35)/COUNT($E35:EU35)),0)</f>
        <v>106.33333333333333</v>
      </c>
      <c r="EZ35" s="144">
        <f>IFERROR(IF(COUNT($E35:EU35)&gt;10,(SUM( INDEX((($E35:EU35&lt;&gt;"")*COLUMN($E35:EU35)&lt;= LARGE(INDEX(($E35:EU35&lt;&gt;"")*COLUMN($E35:EU35),),1))*$E35:EU35,)) - SUM(INDEX((($E35:EU35&lt;&gt;"")*COLUMN($E35:EU35)&lt; LARGE(INDEX(($E35:EU35&lt;&gt;"")*COLUMN($E35:EU35),),10))*$E35:EU35,)))/10,SUM($E35:EU35)/COUNT($E35:EU35)),0)</f>
        <v>106.33333333333333</v>
      </c>
      <c r="FA35" s="348">
        <f>EZ35-EY35</f>
        <v>0</v>
      </c>
      <c r="FB35"/>
      <c r="FC35"/>
    </row>
    <row r="36" spans="1:159" ht="19.5" hidden="1" customHeight="1">
      <c r="A36" s="55" t="s">
        <v>74</v>
      </c>
      <c r="B36" s="55" t="s">
        <v>192</v>
      </c>
      <c r="C36" s="55" t="s">
        <v>157</v>
      </c>
      <c r="D36" s="18">
        <v>15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5"/>
      <c r="S36" s="15"/>
      <c r="T36" s="15"/>
      <c r="U36" s="15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28">
        <v>109</v>
      </c>
      <c r="AS36" s="28">
        <v>87</v>
      </c>
      <c r="AT36" s="28">
        <v>121</v>
      </c>
      <c r="AU36" s="14"/>
      <c r="AV36" s="14"/>
      <c r="AW36" s="14"/>
      <c r="AX36" s="14"/>
      <c r="AY36" s="14"/>
      <c r="AZ36" s="14"/>
      <c r="BA36" s="14"/>
      <c r="BB36" s="14"/>
      <c r="BC36" s="5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4">
        <f>IFERROR(SUM(DE36:DG36)/3,0)</f>
        <v>0</v>
      </c>
      <c r="EX36" s="338"/>
      <c r="EY36" s="144">
        <f>IFERROR(IF(COUNT($E36:EU36)&gt;20,(SUM( INDEX((($E36:EU36&lt;&gt;"")*COLUMN($E36:EU36)&lt;= LARGE(INDEX(($E36:EU36&lt;&gt;"")*COLUMN($E36:EU36),),1))*$E36:EU36,)) - SUM(INDEX((($E36:EU36&lt;&gt;"")*COLUMN($E36:EU36)&lt; LARGE(INDEX(($E36:EU36&lt;&gt;"")*COLUMN($E36:EU36),),20))*$E36:EU36,)))/20,SUM($E36:EU36)/COUNT($E36:EU36)),0)</f>
        <v>105.66666666666667</v>
      </c>
      <c r="EZ36" s="144">
        <f>IFERROR(IF(COUNT($E36:EU36)&gt;10,(SUM( INDEX((($E36:EU36&lt;&gt;"")*COLUMN($E36:EU36)&lt;= LARGE(INDEX(($E36:EU36&lt;&gt;"")*COLUMN($E36:EU36),),1))*$E36:EU36,)) - SUM(INDEX((($E36:EU36&lt;&gt;"")*COLUMN($E36:EU36)&lt; LARGE(INDEX(($E36:EU36&lt;&gt;"")*COLUMN($E36:EU36),),10))*$E36:EU36,)))/10,SUM($E36:EU36)/COUNT($E36:EU36)),0)</f>
        <v>105.66666666666667</v>
      </c>
      <c r="FA36" s="348">
        <f>EZ36-EY36</f>
        <v>0</v>
      </c>
      <c r="FB36"/>
      <c r="FC36"/>
    </row>
    <row r="37" spans="1:159" ht="20.100000000000001" customHeight="1">
      <c r="A37" s="55" t="s">
        <v>58</v>
      </c>
      <c r="B37" s="55" t="s">
        <v>191</v>
      </c>
      <c r="C37" s="55" t="s">
        <v>156</v>
      </c>
      <c r="D37" s="18"/>
      <c r="E37" s="18">
        <v>170</v>
      </c>
      <c r="F37" s="18">
        <v>132</v>
      </c>
      <c r="G37" s="18">
        <v>162</v>
      </c>
      <c r="H37" s="18">
        <v>149</v>
      </c>
      <c r="I37" s="18">
        <v>145</v>
      </c>
      <c r="J37" s="18"/>
      <c r="K37" s="18"/>
      <c r="L37" s="18"/>
      <c r="M37" s="18">
        <v>186</v>
      </c>
      <c r="N37" s="18">
        <v>141</v>
      </c>
      <c r="O37" s="18">
        <v>168</v>
      </c>
      <c r="P37" s="18">
        <v>184</v>
      </c>
      <c r="Q37" s="18">
        <v>179</v>
      </c>
      <c r="R37" s="5"/>
      <c r="S37" s="18">
        <v>172</v>
      </c>
      <c r="T37" s="18">
        <v>150</v>
      </c>
      <c r="U37" s="18">
        <v>175</v>
      </c>
      <c r="V37" s="18">
        <v>192</v>
      </c>
      <c r="W37" s="18">
        <v>193</v>
      </c>
      <c r="X37" s="18">
        <v>165</v>
      </c>
      <c r="Y37" s="18">
        <v>181</v>
      </c>
      <c r="Z37" s="18">
        <v>185</v>
      </c>
      <c r="AA37" s="18">
        <v>168</v>
      </c>
      <c r="AB37" s="18">
        <v>183</v>
      </c>
      <c r="AC37" s="18">
        <v>193</v>
      </c>
      <c r="AD37" s="18"/>
      <c r="AE37" s="18"/>
      <c r="AF37" s="58">
        <v>158</v>
      </c>
      <c r="AG37" s="58">
        <v>129</v>
      </c>
      <c r="AH37" s="58">
        <v>152</v>
      </c>
      <c r="AI37" s="18">
        <v>163</v>
      </c>
      <c r="AJ37" s="18">
        <v>143</v>
      </c>
      <c r="AK37" s="18">
        <v>141</v>
      </c>
      <c r="AL37" s="18">
        <v>148</v>
      </c>
      <c r="AM37" s="18">
        <v>129</v>
      </c>
      <c r="AN37" s="18">
        <v>171</v>
      </c>
      <c r="AO37" s="18">
        <v>148</v>
      </c>
      <c r="AP37" s="18">
        <v>151</v>
      </c>
      <c r="AQ37" s="18">
        <v>146</v>
      </c>
      <c r="AR37" s="18"/>
      <c r="AS37" s="18"/>
      <c r="AT37" s="18"/>
      <c r="AU37" s="18">
        <v>164</v>
      </c>
      <c r="AV37" s="18">
        <v>157</v>
      </c>
      <c r="AW37" s="18">
        <v>147</v>
      </c>
      <c r="AX37" s="18">
        <v>113</v>
      </c>
      <c r="AY37" s="18">
        <v>151</v>
      </c>
      <c r="AZ37" s="18">
        <v>127</v>
      </c>
      <c r="BA37" s="18">
        <v>224</v>
      </c>
      <c r="BB37" s="18">
        <v>134</v>
      </c>
      <c r="BC37" s="5"/>
      <c r="BD37" s="18"/>
      <c r="BE37" s="18"/>
      <c r="BF37" s="18"/>
      <c r="BG37" s="18"/>
      <c r="BH37" s="18"/>
      <c r="BI37" s="18"/>
      <c r="BJ37" s="18">
        <v>185</v>
      </c>
      <c r="BK37" s="18">
        <v>189</v>
      </c>
      <c r="BL37" s="18">
        <v>160</v>
      </c>
      <c r="BM37" s="18">
        <v>173</v>
      </c>
      <c r="BN37" s="18">
        <v>158</v>
      </c>
      <c r="BO37" s="18">
        <v>164</v>
      </c>
      <c r="BP37" s="18">
        <v>151</v>
      </c>
      <c r="BQ37" s="18">
        <v>188</v>
      </c>
      <c r="BR37" s="18">
        <v>147</v>
      </c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>
        <v>136</v>
      </c>
      <c r="CX37" s="18">
        <v>171</v>
      </c>
      <c r="CY37" s="18">
        <v>178</v>
      </c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266" t="str">
        <f>A37</f>
        <v>김창현</v>
      </c>
      <c r="EW37" s="144">
        <f>IFERROR(SUM(ER37:ET37)/3,0)</f>
        <v>0</v>
      </c>
      <c r="EX37" s="266" t="str">
        <f>A37</f>
        <v>김창현</v>
      </c>
      <c r="EY37" s="144">
        <f>IFERROR(IF(COUNT($E37:EU37)&gt;20,(SUM( INDEX((($E37:EU37&lt;&gt;"")*COLUMN($E37:EU37)&lt;= LARGE(INDEX(($E37:EU37&lt;&gt;"")*COLUMN($E37:EU37),),1))*$E37:EU37,)) - SUM(INDEX((($E37:EU37&lt;&gt;"")*COLUMN($E37:EU37)&lt; LARGE(INDEX(($E37:EU37&lt;&gt;"")*COLUMN($E37:EU37),),20))*$E37:EU37,)))/20,SUM($E37:EU37)/COUNT($E37:EU37)),0)</f>
        <v>160.85</v>
      </c>
      <c r="EZ37" s="144">
        <f>IFERROR(IF(COUNT($E37:EU37)&gt;10,(SUM( INDEX((($E37:EU37&lt;&gt;"")*COLUMN($E37:EU37)&lt;= LARGE(INDEX(($E37:EU37&lt;&gt;"")*COLUMN($E37:EU37),),1))*$E37:EU37,)) - SUM(INDEX((($E37:EU37&lt;&gt;"")*COLUMN($E37:EU37)&lt; LARGE(INDEX(($E37:EU37&lt;&gt;"")*COLUMN($E37:EU37),),10))*$E37:EU37,)))/10,SUM($E37:EU37)/COUNT($E37:EU37)),0)</f>
        <v>162.6</v>
      </c>
      <c r="FA37" s="348">
        <f>EZ37-EY37</f>
        <v>1.75</v>
      </c>
      <c r="FB37" s="163">
        <f>MAX(EX37:EX37)</f>
        <v>0</v>
      </c>
      <c r="FC37" s="361" t="s">
        <v>346</v>
      </c>
    </row>
    <row r="38" spans="1:159" ht="20.100000000000001" customHeight="1">
      <c r="A38" s="59" t="s">
        <v>56</v>
      </c>
      <c r="B38" s="59" t="s">
        <v>191</v>
      </c>
      <c r="C38" s="59" t="s">
        <v>157</v>
      </c>
      <c r="D38" s="60">
        <v>12</v>
      </c>
      <c r="E38" s="14"/>
      <c r="F38" s="14"/>
      <c r="G38" s="14"/>
      <c r="H38" s="14"/>
      <c r="I38" s="14"/>
      <c r="J38" s="14"/>
      <c r="K38" s="14"/>
      <c r="L38" s="14"/>
      <c r="M38" s="13"/>
      <c r="N38" s="14"/>
      <c r="O38" s="14"/>
      <c r="P38" s="13"/>
      <c r="Q38" s="13"/>
      <c r="R38" s="5"/>
      <c r="S38" s="15"/>
      <c r="T38" s="15"/>
      <c r="U38" s="15"/>
      <c r="V38" s="13"/>
      <c r="W38" s="13"/>
      <c r="X38" s="13"/>
      <c r="Y38" s="13"/>
      <c r="Z38" s="13"/>
      <c r="AA38" s="61">
        <v>191</v>
      </c>
      <c r="AB38" s="61">
        <v>138</v>
      </c>
      <c r="AC38" s="61">
        <v>173</v>
      </c>
      <c r="AD38" s="49">
        <v>128</v>
      </c>
      <c r="AE38" s="49">
        <v>181</v>
      </c>
      <c r="AF38" s="58"/>
      <c r="AG38" s="58"/>
      <c r="AH38" s="58"/>
      <c r="AI38" s="18">
        <f>161+12</f>
        <v>173</v>
      </c>
      <c r="AJ38" s="18">
        <f>138+12</f>
        <v>150</v>
      </c>
      <c r="AK38" s="18">
        <f>130+12</f>
        <v>142</v>
      </c>
      <c r="AL38" s="18"/>
      <c r="AM38" s="18"/>
      <c r="AN38" s="18"/>
      <c r="AO38" s="18">
        <v>179</v>
      </c>
      <c r="AP38" s="18">
        <v>184</v>
      </c>
      <c r="AQ38" s="18">
        <v>162</v>
      </c>
      <c r="AR38" s="28">
        <v>194</v>
      </c>
      <c r="AS38" s="28">
        <v>186</v>
      </c>
      <c r="AT38" s="28">
        <v>156</v>
      </c>
      <c r="AU38" s="18"/>
      <c r="AV38" s="18"/>
      <c r="AW38" s="18"/>
      <c r="AX38" s="18">
        <v>114</v>
      </c>
      <c r="AY38" s="18">
        <v>117</v>
      </c>
      <c r="AZ38" s="18">
        <v>192</v>
      </c>
      <c r="BA38" s="18"/>
      <c r="BB38" s="18"/>
      <c r="BC38" s="5"/>
      <c r="BD38" s="18"/>
      <c r="BE38" s="18"/>
      <c r="BF38" s="18"/>
      <c r="BG38" s="18">
        <v>118</v>
      </c>
      <c r="BH38" s="18">
        <v>173</v>
      </c>
      <c r="BI38" s="18">
        <v>130</v>
      </c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266" t="str">
        <f>A38</f>
        <v>김예지</v>
      </c>
      <c r="EW38" s="144">
        <f>IFERROR(SUM(ER38:ET38)/3,0)</f>
        <v>0</v>
      </c>
      <c r="EX38" s="266" t="str">
        <f>A38</f>
        <v>김예지</v>
      </c>
      <c r="EY38" s="144">
        <f>IFERROR(IF(COUNT($E38:EU38)&gt;20,(SUM( INDEX((($E38:EU38&lt;&gt;"")*COLUMN($E38:EU38)&lt;= LARGE(INDEX(($E38:EU38&lt;&gt;"")*COLUMN($E38:EU38),),1))*$E38:EU38,)) - SUM(INDEX((($E38:EU38&lt;&gt;"")*COLUMN($E38:EU38)&lt; LARGE(INDEX(($E38:EU38&lt;&gt;"")*COLUMN($E38:EU38),),20))*$E38:EU38,)))/20,SUM($E38:EU38)/COUNT($E38:EU38)),0)</f>
        <v>159.05000000000001</v>
      </c>
      <c r="EZ38" s="144">
        <f>IFERROR(IF(COUNT($E38:EU38)&gt;10,(SUM( INDEX((($E38:EU38&lt;&gt;"")*COLUMN($E38:EU38)&lt;= LARGE(INDEX(($E38:EU38&lt;&gt;"")*COLUMN($E38:EU38),),1))*$E38:EU38,)) - SUM(INDEX((($E38:EU38&lt;&gt;"")*COLUMN($E38:EU38)&lt; LARGE(INDEX(($E38:EU38&lt;&gt;"")*COLUMN($E38:EU38),),10))*$E38:EU38,)))/10,SUM($E38:EU38)/COUNT($E38:EU38)),0)</f>
        <v>154.19999999999999</v>
      </c>
      <c r="FA38" s="348">
        <f>EZ38-EY38</f>
        <v>-4.8500000000000227</v>
      </c>
      <c r="FB38" s="163">
        <f>MAX(EX38:EX38)</f>
        <v>0</v>
      </c>
      <c r="FC38" s="361" t="s">
        <v>346</v>
      </c>
    </row>
    <row r="39" spans="1:159" ht="16.5" hidden="1" customHeight="1">
      <c r="A39" s="56" t="s">
        <v>52</v>
      </c>
      <c r="B39" s="56" t="s">
        <v>267</v>
      </c>
      <c r="C39" s="56" t="s">
        <v>157</v>
      </c>
      <c r="D39" s="57">
        <v>15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5"/>
      <c r="S39" s="15"/>
      <c r="T39" s="15"/>
      <c r="U39" s="15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8"/>
      <c r="AM39" s="18"/>
      <c r="AN39" s="18"/>
      <c r="AO39" s="18"/>
      <c r="AP39" s="18"/>
      <c r="AQ39" s="18"/>
      <c r="AR39" s="28">
        <v>67</v>
      </c>
      <c r="AS39" s="28">
        <v>43</v>
      </c>
      <c r="AT39" s="28">
        <v>65</v>
      </c>
      <c r="AU39" s="18">
        <v>51</v>
      </c>
      <c r="AV39" s="18">
        <v>76</v>
      </c>
      <c r="AW39" s="18">
        <v>94</v>
      </c>
      <c r="AX39" s="18">
        <v>90</v>
      </c>
      <c r="AY39" s="18">
        <v>93</v>
      </c>
      <c r="AZ39" s="18">
        <v>77</v>
      </c>
      <c r="BA39" s="18"/>
      <c r="BB39" s="18"/>
      <c r="BC39" s="5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44">
        <f>IFERROR(SUM(DE39:DG39)/3,0)</f>
        <v>0</v>
      </c>
      <c r="EX39" s="337"/>
      <c r="EY39" s="144">
        <f>IFERROR(IF(COUNT($E39:EU39)&gt;20,(SUM( INDEX((($E39:EU39&lt;&gt;"")*COLUMN($E39:EU39)&lt;= LARGE(INDEX(($E39:EU39&lt;&gt;"")*COLUMN($E39:EU39),),1))*$E39:EU39,)) - SUM(INDEX((($E39:EU39&lt;&gt;"")*COLUMN($E39:EU39)&lt; LARGE(INDEX(($E39:EU39&lt;&gt;"")*COLUMN($E39:EU39),),20))*$E39:EU39,)))/20,SUM($E39:EU39)/COUNT($E39:EU39)),0)</f>
        <v>72.888888888888886</v>
      </c>
      <c r="EZ39" s="144">
        <f>IFERROR(IF(COUNT($E39:EU39)&gt;10,(SUM( INDEX((($E39:EU39&lt;&gt;"")*COLUMN($E39:EU39)&lt;= LARGE(INDEX(($E39:EU39&lt;&gt;"")*COLUMN($E39:EU39),),1))*$E39:EU39,)) - SUM(INDEX((($E39:EU39&lt;&gt;"")*COLUMN($E39:EU39)&lt; LARGE(INDEX(($E39:EU39&lt;&gt;"")*COLUMN($E39:EU39),),10))*$E39:EU39,)))/10,SUM($E39:EU39)/COUNT($E39:EU39)),0)</f>
        <v>72.888888888888886</v>
      </c>
      <c r="FA39" s="348">
        <f>EZ39-EY39</f>
        <v>0</v>
      </c>
      <c r="FB39" s="163">
        <f>MAX(EX39:EX39)</f>
        <v>0</v>
      </c>
      <c r="FC39" s="163"/>
    </row>
    <row r="40" spans="1:159">
      <c r="A40" s="48" t="s">
        <v>339</v>
      </c>
      <c r="B40" s="48" t="s">
        <v>194</v>
      </c>
      <c r="C40" s="48" t="s">
        <v>156</v>
      </c>
      <c r="D40" s="49">
        <v>10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18">
        <f>92+D40</f>
        <v>102</v>
      </c>
      <c r="DL40" s="18">
        <f>78+D40</f>
        <v>88</v>
      </c>
      <c r="DM40" s="18">
        <f>85+D40</f>
        <v>95</v>
      </c>
      <c r="DN40" s="18"/>
      <c r="DO40" s="18"/>
      <c r="DP40" s="18"/>
      <c r="DQ40" s="18">
        <f>104+D40</f>
        <v>114</v>
      </c>
      <c r="DR40" s="18">
        <f>100+D40</f>
        <v>110</v>
      </c>
      <c r="DS40" s="18">
        <f>123+D40</f>
        <v>133</v>
      </c>
      <c r="DT40" s="18">
        <f>122+D40</f>
        <v>132</v>
      </c>
      <c r="DU40" s="18">
        <f>152+D40</f>
        <v>162</v>
      </c>
      <c r="DV40" s="18">
        <f>121+D40</f>
        <v>131</v>
      </c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45"/>
      <c r="EV40" s="45"/>
      <c r="EW40" s="144">
        <f>IFERROR(SUM(ER40:ET40)/3,0)</f>
        <v>0</v>
      </c>
      <c r="EX40" s="315"/>
      <c r="EY40" s="144">
        <f>IFERROR(IF(COUNT($E40:EU40)&gt;20,(SUM( INDEX((($E40:EU40&lt;&gt;"")*COLUMN($E40:EU40)&lt;= LARGE(INDEX(($E40:EU40&lt;&gt;"")*COLUMN($E40:EU40),),1))*$E40:EU40,)) - SUM(INDEX((($E40:EU40&lt;&gt;"")*COLUMN($E40:EU40)&lt; LARGE(INDEX(($E40:EU40&lt;&gt;"")*COLUMN($E40:EU40),),20))*$E40:EU40,)))/20,SUM($E40:EU40)/COUNT($E40:EU40)),0)</f>
        <v>118.55555555555556</v>
      </c>
      <c r="EZ40" s="144">
        <f>IFERROR(IF(COUNT($E40:EU40)&gt;10,(SUM( INDEX((($E40:EU40&lt;&gt;"")*COLUMN($E40:EU40)&lt;= LARGE(INDEX(($E40:EU40&lt;&gt;"")*COLUMN($E40:EU40),),1))*$E40:EU40,)) - SUM(INDEX((($E40:EU40&lt;&gt;"")*COLUMN($E40:EU40)&lt; LARGE(INDEX(($E40:EU40&lt;&gt;"")*COLUMN($E40:EU40),),10))*$E40:EU40,)))/10,SUM($E40:EU40)/COUNT($E40:EU40)),0)</f>
        <v>118.55555555555556</v>
      </c>
      <c r="FA40" s="348">
        <f>EZ40-EY40</f>
        <v>0</v>
      </c>
      <c r="FC40" s="361" t="s">
        <v>346</v>
      </c>
    </row>
    <row r="41" spans="1:159">
      <c r="A41" s="55" t="s">
        <v>72</v>
      </c>
      <c r="B41" s="55" t="s">
        <v>191</v>
      </c>
      <c r="C41" s="55" t="s">
        <v>156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5"/>
      <c r="S41" s="13"/>
      <c r="T41" s="13"/>
      <c r="U41" s="13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4"/>
      <c r="AP41" s="14"/>
      <c r="AQ41" s="18"/>
      <c r="AR41" s="14"/>
      <c r="AS41" s="14"/>
      <c r="AT41" s="14"/>
      <c r="AU41" s="18">
        <v>145</v>
      </c>
      <c r="AV41" s="18">
        <v>133</v>
      </c>
      <c r="AW41" s="18">
        <v>180</v>
      </c>
      <c r="AX41" s="14">
        <v>156</v>
      </c>
      <c r="AY41" s="14">
        <v>170</v>
      </c>
      <c r="AZ41" s="14">
        <v>159</v>
      </c>
      <c r="BA41" s="14">
        <v>170</v>
      </c>
      <c r="BB41" s="14">
        <v>144</v>
      </c>
      <c r="BC41" s="5"/>
      <c r="BD41" s="14">
        <v>162</v>
      </c>
      <c r="BE41" s="14">
        <v>112</v>
      </c>
      <c r="BF41" s="14">
        <v>168</v>
      </c>
      <c r="BG41" s="14">
        <v>127</v>
      </c>
      <c r="BH41" s="14">
        <v>123</v>
      </c>
      <c r="BI41" s="14">
        <v>175</v>
      </c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8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266" t="str">
        <f>A41</f>
        <v>임무성</v>
      </c>
      <c r="EW41" s="144">
        <f>IFERROR(SUM(ER41:ET41)/3,0)</f>
        <v>0</v>
      </c>
      <c r="EX41" s="266" t="str">
        <f>A41</f>
        <v>임무성</v>
      </c>
      <c r="EY41" s="144">
        <f>IFERROR(IF(COUNT($E41:EU41)&gt;20,(SUM( INDEX((($E41:EU41&lt;&gt;"")*COLUMN($E41:EU41)&lt;= LARGE(INDEX(($E41:EU41&lt;&gt;"")*COLUMN($E41:EU41),),1))*$E41:EU41,)) - SUM(INDEX((($E41:EU41&lt;&gt;"")*COLUMN($E41:EU41)&lt; LARGE(INDEX(($E41:EU41&lt;&gt;"")*COLUMN($E41:EU41),),20))*$E41:EU41,)))/20,SUM($E41:EU41)/COUNT($E41:EU41)),0)</f>
        <v>151.71428571428572</v>
      </c>
      <c r="EZ41" s="144">
        <f>IFERROR(IF(COUNT($E41:EU41)&gt;10,(SUM( INDEX((($E41:EU41&lt;&gt;"")*COLUMN($E41:EU41)&lt;= LARGE(INDEX(($E41:EU41&lt;&gt;"")*COLUMN($E41:EU41),),1))*$E41:EU41,)) - SUM(INDEX((($E41:EU41&lt;&gt;"")*COLUMN($E41:EU41)&lt; LARGE(INDEX(($E41:EU41&lt;&gt;"")*COLUMN($E41:EU41),),10))*$E41:EU41,)))/10,SUM($E41:EU41)/COUNT($E41:EU41)),0)</f>
        <v>151</v>
      </c>
      <c r="FA41" s="348">
        <f>EZ41-EY41</f>
        <v>-0.71428571428572241</v>
      </c>
      <c r="FB41" s="163">
        <f>MAX(EX41:EX41)</f>
        <v>0</v>
      </c>
      <c r="FC41" s="361" t="s">
        <v>346</v>
      </c>
    </row>
    <row r="42" spans="1:159" hidden="1">
      <c r="A42" s="55" t="s">
        <v>63</v>
      </c>
      <c r="B42" s="55" t="s">
        <v>192</v>
      </c>
      <c r="C42" s="55" t="s">
        <v>356</v>
      </c>
      <c r="D42" s="18">
        <v>10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5"/>
      <c r="S42" s="15"/>
      <c r="T42" s="15"/>
      <c r="U42" s="15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67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5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4">
        <f>IFERROR(SUM(DE42:DG42)/3,0)</f>
        <v>0</v>
      </c>
      <c r="EX42" s="338"/>
      <c r="EY42" s="144">
        <f>IFERROR(IF(COUNT($E42:EU42)&gt;20,(SUM( INDEX((($E42:EU42&lt;&gt;"")*COLUMN($E42:EU42)&lt;= LARGE(INDEX(($E42:EU42&lt;&gt;"")*COLUMN($E42:EU42),),1))*$E42:EU42,)) - SUM(INDEX((($E42:EU42&lt;&gt;"")*COLUMN($E42:EU42)&lt; LARGE(INDEX(($E42:EU42&lt;&gt;"")*COLUMN($E42:EU42),),20))*$E42:EU42,)))/20,SUM($E42:EU42)/COUNT($E42:EU42)),0)</f>
        <v>0</v>
      </c>
      <c r="EZ42" s="144">
        <f>IFERROR(IF(COUNT($E42:EU42)&gt;10,(SUM( INDEX((($E42:EU42&lt;&gt;"")*COLUMN($E42:EU42)&lt;= LARGE(INDEX(($E42:EU42&lt;&gt;"")*COLUMN($E42:EU42),),1))*$E42:EU42,)) - SUM(INDEX((($E42:EU42&lt;&gt;"")*COLUMN($E42:EU42)&lt; LARGE(INDEX(($E42:EU42&lt;&gt;"")*COLUMN($E42:EU42),),10))*$E42:EU42,)))/10,SUM($E42:EU42)/COUNT($E42:EU42)),0)</f>
        <v>0</v>
      </c>
      <c r="FA42" s="348">
        <f>EZ42-EY42</f>
        <v>0</v>
      </c>
      <c r="FB42"/>
      <c r="FC42"/>
    </row>
    <row r="43" spans="1:159" hidden="1">
      <c r="A43" s="48" t="s">
        <v>315</v>
      </c>
      <c r="B43" s="48" t="s">
        <v>193</v>
      </c>
      <c r="C43" s="48" t="s">
        <v>316</v>
      </c>
      <c r="D43" s="327">
        <v>10</v>
      </c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356"/>
      <c r="S43" s="356"/>
      <c r="T43" s="356"/>
      <c r="U43" s="356"/>
      <c r="V43" s="356"/>
      <c r="W43" s="356"/>
      <c r="X43" s="356"/>
      <c r="Y43" s="356"/>
      <c r="Z43" s="356"/>
      <c r="AA43" s="356"/>
      <c r="AB43" s="356"/>
      <c r="AC43" s="356"/>
      <c r="AD43" s="356"/>
      <c r="AE43" s="356"/>
      <c r="AF43" s="356"/>
      <c r="AG43" s="356"/>
      <c r="AH43" s="356"/>
      <c r="AI43" s="356"/>
      <c r="AJ43" s="356"/>
      <c r="AK43" s="356"/>
      <c r="AL43" s="356"/>
      <c r="AM43" s="356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356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356"/>
      <c r="DA43" s="357"/>
      <c r="DB43" s="356"/>
      <c r="DC43" s="356"/>
      <c r="DD43" s="356"/>
      <c r="DE43" s="356"/>
      <c r="DF43" s="356"/>
      <c r="DG43" s="356"/>
      <c r="DH43" s="356"/>
      <c r="DI43" s="356"/>
      <c r="DJ43" s="356"/>
      <c r="DK43" s="356"/>
      <c r="DL43" s="356"/>
      <c r="DM43" s="356"/>
      <c r="DN43" s="356"/>
      <c r="DO43" s="356"/>
      <c r="DP43" s="356"/>
      <c r="DQ43" s="356"/>
      <c r="DR43" s="356"/>
      <c r="DS43" s="356"/>
      <c r="DT43" s="356"/>
      <c r="DU43" s="356"/>
      <c r="DV43" s="356"/>
      <c r="DW43" s="356"/>
      <c r="DX43" s="356"/>
      <c r="DY43" s="356"/>
      <c r="DZ43" s="356"/>
      <c r="EA43" s="356"/>
      <c r="EB43" s="356"/>
      <c r="EC43" s="356"/>
      <c r="ED43" s="356"/>
      <c r="EE43" s="356"/>
      <c r="EF43" s="356"/>
      <c r="EG43" s="356"/>
      <c r="EH43" s="356"/>
      <c r="EI43" s="356"/>
      <c r="EJ43" s="356"/>
      <c r="EK43" s="356"/>
      <c r="EL43" s="356"/>
      <c r="EM43" s="356"/>
      <c r="EN43" s="356"/>
      <c r="EO43" s="356"/>
      <c r="EP43" s="356"/>
      <c r="EQ43" s="356"/>
      <c r="ER43" s="356"/>
      <c r="ES43" s="356"/>
      <c r="ET43" s="356"/>
      <c r="EU43" s="356"/>
      <c r="EV43" s="358" t="str">
        <f>A43</f>
        <v>성문조</v>
      </c>
      <c r="EW43" s="359">
        <f>IFERROR(SUM(DH43:DJ43)/3,0)</f>
        <v>0</v>
      </c>
      <c r="EX43" s="318" t="str">
        <f>A43</f>
        <v>성문조</v>
      </c>
      <c r="EY43" s="359">
        <f>IFERROR(IF(COUNT($E43:EU43)&gt;20,(SUM( INDEX((($E43:EU43&lt;&gt;"")*COLUMN($E43:EU43)&lt;= LARGE(INDEX(($E43:EU43&lt;&gt;"")*COLUMN($E43:EU43),),1))*$E43:EU43,)) - SUM(INDEX((($E43:EU43&lt;&gt;"")*COLUMN($E43:EU43)&lt; LARGE(INDEX(($E43:EU43&lt;&gt;"")*COLUMN($E43:EU43),),20))*$E43:EU43,)))/20,SUM($E43:EU43)/COUNT($E43:EU43)),0)</f>
        <v>0</v>
      </c>
      <c r="EZ43" s="359">
        <f>IFERROR(IF(COUNT($E43:EU43)&gt;10,(SUM( INDEX((($E43:EU43&lt;&gt;"")*COLUMN($E43:EU43)&lt;= LARGE(INDEX(($E43:EU43&lt;&gt;"")*COLUMN($E43:EU43),),1))*$E43:EU43,)) - SUM(INDEX((($E43:EU43&lt;&gt;"")*COLUMN($E43:EU43)&lt; LARGE(INDEX(($E43:EU43&lt;&gt;"")*COLUMN($E43:EU43),),10))*$E43:EU43,)))/10,SUM($E43:EU43)/COUNT($E43:EU43)),0)</f>
        <v>0</v>
      </c>
      <c r="FA43" s="360">
        <f>EZ43-EY43</f>
        <v>0</v>
      </c>
      <c r="FB43" s="157">
        <f>MAX(EX43:EX43)</f>
        <v>0</v>
      </c>
    </row>
    <row r="44" spans="1:159">
      <c r="A44" s="461" t="s">
        <v>69</v>
      </c>
      <c r="B44" s="461" t="s">
        <v>191</v>
      </c>
      <c r="C44" s="461" t="s">
        <v>156</v>
      </c>
      <c r="D44" s="357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>
        <v>152</v>
      </c>
      <c r="Q44" s="24">
        <v>149</v>
      </c>
      <c r="R44" s="412"/>
      <c r="S44" s="372"/>
      <c r="T44" s="372"/>
      <c r="U44" s="372"/>
      <c r="V44" s="357">
        <v>141</v>
      </c>
      <c r="W44" s="357">
        <v>155</v>
      </c>
      <c r="X44" s="357">
        <v>145</v>
      </c>
      <c r="Y44" s="357"/>
      <c r="Z44" s="357"/>
      <c r="AA44" s="357"/>
      <c r="AB44" s="357"/>
      <c r="AC44" s="357"/>
      <c r="AD44" s="357"/>
      <c r="AE44" s="357"/>
      <c r="AF44" s="413"/>
      <c r="AG44" s="413"/>
      <c r="AH44" s="413"/>
      <c r="AI44" s="357"/>
      <c r="AJ44" s="357"/>
      <c r="AK44" s="357"/>
      <c r="AL44" s="357"/>
      <c r="AM44" s="357"/>
      <c r="AN44" s="357"/>
      <c r="AO44" s="357">
        <v>124</v>
      </c>
      <c r="AP44" s="357">
        <v>125</v>
      </c>
      <c r="AQ44" s="357">
        <v>146</v>
      </c>
      <c r="AR44" s="357"/>
      <c r="AS44" s="357"/>
      <c r="AT44" s="357"/>
      <c r="AU44" s="357"/>
      <c r="AV44" s="357"/>
      <c r="AW44" s="357"/>
      <c r="AX44" s="357">
        <v>142</v>
      </c>
      <c r="AY44" s="357">
        <v>183</v>
      </c>
      <c r="AZ44" s="357">
        <v>191</v>
      </c>
      <c r="BA44" s="357"/>
      <c r="BB44" s="357"/>
      <c r="BC44" s="412"/>
      <c r="BD44" s="357"/>
      <c r="BE44" s="357"/>
      <c r="BF44" s="357"/>
      <c r="BG44" s="357"/>
      <c r="BH44" s="357"/>
      <c r="BI44" s="357"/>
      <c r="BJ44" s="357"/>
      <c r="BK44" s="357"/>
      <c r="BL44" s="357"/>
      <c r="BM44" s="357"/>
      <c r="BN44" s="357"/>
      <c r="BO44" s="357"/>
      <c r="BP44" s="357"/>
      <c r="BQ44" s="357"/>
      <c r="BR44" s="357"/>
      <c r="BS44" s="357"/>
      <c r="BT44" s="357"/>
      <c r="BU44" s="357"/>
      <c r="BV44" s="357"/>
      <c r="BW44" s="357"/>
      <c r="BX44" s="357"/>
      <c r="BY44" s="357"/>
      <c r="BZ44" s="357"/>
      <c r="CA44" s="357"/>
      <c r="CB44" s="357"/>
      <c r="CC44" s="357"/>
      <c r="CD44" s="357"/>
      <c r="CE44" s="357"/>
      <c r="CF44" s="357"/>
      <c r="CG44" s="357"/>
      <c r="CH44" s="357"/>
      <c r="CI44" s="357"/>
      <c r="CJ44" s="357"/>
      <c r="CK44" s="357"/>
      <c r="CL44" s="357"/>
      <c r="CM44" s="357"/>
      <c r="CN44" s="357"/>
      <c r="CO44" s="357"/>
      <c r="CP44" s="357"/>
      <c r="CQ44" s="357"/>
      <c r="CR44" s="357"/>
      <c r="CS44" s="357"/>
      <c r="CT44" s="357"/>
      <c r="CU44" s="357"/>
      <c r="CV44" s="357"/>
      <c r="CW44" s="357">
        <v>133</v>
      </c>
      <c r="CX44" s="357">
        <v>134</v>
      </c>
      <c r="CY44" s="357">
        <v>200</v>
      </c>
      <c r="CZ44" s="357"/>
      <c r="DA44" s="357"/>
      <c r="DB44" s="357"/>
      <c r="DC44" s="357"/>
      <c r="DD44" s="357"/>
      <c r="DE44" s="357"/>
      <c r="DF44" s="357"/>
      <c r="DG44" s="357"/>
      <c r="DH44" s="357"/>
      <c r="DI44" s="357"/>
      <c r="DJ44" s="357"/>
      <c r="DK44" s="357">
        <v>126</v>
      </c>
      <c r="DL44" s="357">
        <v>106</v>
      </c>
      <c r="DM44" s="357">
        <v>134</v>
      </c>
      <c r="DN44" s="357"/>
      <c r="DO44" s="357"/>
      <c r="DP44" s="357"/>
      <c r="DQ44" s="357"/>
      <c r="DR44" s="357"/>
      <c r="DS44" s="357"/>
      <c r="DT44" s="357"/>
      <c r="DU44" s="357"/>
      <c r="DV44" s="357"/>
      <c r="DW44" s="357"/>
      <c r="DX44" s="357"/>
      <c r="DY44" s="357"/>
      <c r="DZ44" s="357"/>
      <c r="EA44" s="357"/>
      <c r="EB44" s="357"/>
      <c r="EC44" s="357"/>
      <c r="ED44" s="357"/>
      <c r="EE44" s="357"/>
      <c r="EF44" s="357"/>
      <c r="EG44" s="357"/>
      <c r="EH44" s="357"/>
      <c r="EI44" s="357"/>
      <c r="EJ44" s="357"/>
      <c r="EK44" s="357"/>
      <c r="EL44" s="357"/>
      <c r="EM44" s="357"/>
      <c r="EN44" s="357"/>
      <c r="EO44" s="357"/>
      <c r="EP44" s="357"/>
      <c r="EQ44" s="357"/>
      <c r="ER44" s="357"/>
      <c r="ES44" s="357"/>
      <c r="ET44" s="357"/>
      <c r="EU44" s="357"/>
      <c r="EV44" s="266" t="str">
        <f>A44</f>
        <v>이정호</v>
      </c>
      <c r="EW44" s="144">
        <f>IFERROR(SUM(ER44:ET44)/3,0)</f>
        <v>0</v>
      </c>
      <c r="EX44" s="358" t="str">
        <f>A44</f>
        <v>이정호</v>
      </c>
      <c r="EY44" s="359">
        <f>IFERROR(IF(COUNT($E44:EU44)&gt;20,(SUM( INDEX((($E44:EU44&lt;&gt;"")*COLUMN($E44:EU44)&lt;= LARGE(INDEX(($E44:EU44&lt;&gt;"")*COLUMN($E44:EU44),),1))*$E44:EU44,)) - SUM(INDEX((($E44:EU44&lt;&gt;"")*COLUMN($E44:EU44)&lt; LARGE(INDEX(($E44:EU44&lt;&gt;"")*COLUMN($E44:EU44),),20))*$E44:EU44,)))/20,SUM($E44:EU44)/COUNT($E44:EU44)),0)</f>
        <v>146.23529411764707</v>
      </c>
      <c r="EZ44" s="359">
        <f>IFERROR(IF(COUNT($E44:EU44)&gt;10,(SUM( INDEX((($E44:EU44&lt;&gt;"")*COLUMN($E44:EU44)&lt;= LARGE(INDEX(($E44:EU44&lt;&gt;"")*COLUMN($E44:EU44),),1))*$E44:EU44,)) - SUM(INDEX((($E44:EU44&lt;&gt;"")*COLUMN($E44:EU44)&lt; LARGE(INDEX(($E44:EU44&lt;&gt;"")*COLUMN($E44:EU44),),10))*$E44:EU44,)))/10,SUM($E44:EU44)/COUNT($E44:EU44)),0)</f>
        <v>149.5</v>
      </c>
      <c r="FA44" s="360">
        <f>EZ44-EY44</f>
        <v>3.2647058823529278</v>
      </c>
      <c r="FB44" s="163">
        <f>MAX(EX44:EX44)</f>
        <v>0</v>
      </c>
      <c r="FC44" s="361" t="s">
        <v>346</v>
      </c>
    </row>
    <row r="45" spans="1:159" hidden="1">
      <c r="A45" s="55" t="s">
        <v>78</v>
      </c>
      <c r="B45" s="55" t="s">
        <v>193</v>
      </c>
      <c r="C45" s="55" t="s">
        <v>156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5"/>
      <c r="S45" s="13"/>
      <c r="T45" s="13"/>
      <c r="U45" s="13"/>
      <c r="V45" s="68"/>
      <c r="W45" s="68"/>
      <c r="X45" s="68"/>
      <c r="Y45" s="18"/>
      <c r="Z45" s="18"/>
      <c r="AA45" s="61"/>
      <c r="AB45" s="61"/>
      <c r="AC45" s="61"/>
      <c r="AD45" s="61"/>
      <c r="AE45" s="61"/>
      <c r="AF45" s="58"/>
      <c r="AG45" s="58"/>
      <c r="AH45" s="5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>
        <v>147</v>
      </c>
      <c r="AY45" s="18">
        <v>119</v>
      </c>
      <c r="AZ45" s="18">
        <v>93</v>
      </c>
      <c r="BA45" s="18">
        <v>110</v>
      </c>
      <c r="BB45" s="18">
        <v>107</v>
      </c>
      <c r="BC45" s="5"/>
      <c r="BD45" s="18">
        <v>144</v>
      </c>
      <c r="BE45" s="18">
        <v>108</v>
      </c>
      <c r="BF45" s="18">
        <v>108</v>
      </c>
      <c r="BG45" s="18">
        <v>111</v>
      </c>
      <c r="BH45" s="18">
        <v>146</v>
      </c>
      <c r="BI45" s="18">
        <v>109</v>
      </c>
      <c r="BJ45" s="18"/>
      <c r="BK45" s="18"/>
      <c r="BL45" s="18"/>
      <c r="BM45" s="18">
        <v>163</v>
      </c>
      <c r="BN45" s="18">
        <v>118</v>
      </c>
      <c r="BO45" s="18">
        <v>120</v>
      </c>
      <c r="BP45" s="18"/>
      <c r="BQ45" s="18"/>
      <c r="BR45" s="18"/>
      <c r="BS45" s="18">
        <v>135</v>
      </c>
      <c r="BT45" s="18">
        <v>130</v>
      </c>
      <c r="BU45" s="18">
        <v>109</v>
      </c>
      <c r="BV45" s="18">
        <v>162</v>
      </c>
      <c r="BW45" s="18">
        <v>194</v>
      </c>
      <c r="BX45" s="18">
        <v>147</v>
      </c>
      <c r="BY45" s="18">
        <v>112</v>
      </c>
      <c r="BZ45" s="18">
        <v>169</v>
      </c>
      <c r="CA45" s="18">
        <v>149</v>
      </c>
      <c r="CB45" s="18"/>
      <c r="CC45" s="18"/>
      <c r="CD45" s="18"/>
      <c r="CE45" s="18">
        <v>146</v>
      </c>
      <c r="CF45" s="18">
        <v>158</v>
      </c>
      <c r="CG45" s="18">
        <v>177</v>
      </c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266" t="str">
        <f>A45</f>
        <v>조헌우</v>
      </c>
      <c r="EW45" s="144">
        <f>IFERROR(SUM(EC45:EE45)/3,0)</f>
        <v>0</v>
      </c>
      <c r="EX45" s="358" t="str">
        <f>A45</f>
        <v>조헌우</v>
      </c>
      <c r="EY45" s="359">
        <f>IFERROR(IF(COUNT($E45:EU45)&gt;20,(SUM( INDEX((($E45:EU45&lt;&gt;"")*COLUMN($E45:EU45)&lt;= LARGE(INDEX(($E45:EU45&lt;&gt;"")*COLUMN($E45:EU45),),1))*$E45:EU45,)) - SUM(INDEX((($E45:EU45&lt;&gt;"")*COLUMN($E45:EU45)&lt; LARGE(INDEX(($E45:EU45&lt;&gt;"")*COLUMN($E45:EU45),),20))*$E45:EU45,)))/20,SUM($E45:EU45)/COUNT($E45:EU45)),0)</f>
        <v>138.55000000000001</v>
      </c>
      <c r="EZ45" s="359">
        <f>IFERROR(IF(COUNT($E45:EU45)&gt;10,(SUM( INDEX((($E45:EU45&lt;&gt;"")*COLUMN($E45:EU45)&lt;= LARGE(INDEX(($E45:EU45&lt;&gt;"")*COLUMN($E45:EU45),),1))*$E45:EU45,)) - SUM(INDEX((($E45:EU45&lt;&gt;"")*COLUMN($E45:EU45)&lt; LARGE(INDEX(($E45:EU45&lt;&gt;"")*COLUMN($E45:EU45),),10))*$E45:EU45,)))/10,SUM($E45:EU45)/COUNT($E45:EU45)),0)</f>
        <v>152.30000000000001</v>
      </c>
      <c r="FA45" s="360">
        <f>EZ45-EY45</f>
        <v>13.75</v>
      </c>
      <c r="FB45" s="163">
        <f>MAX(EX45:EX45)</f>
        <v>0</v>
      </c>
      <c r="FC45" s="361" t="s">
        <v>346</v>
      </c>
    </row>
    <row r="46" spans="1:159">
      <c r="A46" s="59" t="s">
        <v>77</v>
      </c>
      <c r="B46" s="59" t="s">
        <v>191</v>
      </c>
      <c r="C46" s="59" t="s">
        <v>157</v>
      </c>
      <c r="D46" s="60">
        <v>12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>
        <v>120</v>
      </c>
      <c r="Q46" s="18">
        <v>138</v>
      </c>
      <c r="R46" s="5"/>
      <c r="S46" s="18">
        <v>116</v>
      </c>
      <c r="T46" s="18">
        <v>173</v>
      </c>
      <c r="U46" s="18">
        <v>171</v>
      </c>
      <c r="V46" s="68">
        <v>148</v>
      </c>
      <c r="W46" s="68">
        <v>116</v>
      </c>
      <c r="X46" s="68">
        <v>139</v>
      </c>
      <c r="Y46" s="18">
        <v>112</v>
      </c>
      <c r="Z46" s="18">
        <v>126</v>
      </c>
      <c r="AA46" s="61">
        <v>107</v>
      </c>
      <c r="AB46" s="61">
        <v>132</v>
      </c>
      <c r="AC46" s="61">
        <v>112</v>
      </c>
      <c r="AD46" s="61"/>
      <c r="AE46" s="61"/>
      <c r="AF46" s="58">
        <v>127</v>
      </c>
      <c r="AG46" s="58">
        <v>126</v>
      </c>
      <c r="AH46" s="58">
        <v>145</v>
      </c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>
        <v>180</v>
      </c>
      <c r="AY46" s="18">
        <v>165</v>
      </c>
      <c r="AZ46" s="18">
        <v>152</v>
      </c>
      <c r="BA46" s="18"/>
      <c r="BB46" s="18"/>
      <c r="BC46" s="5"/>
      <c r="BD46" s="18"/>
      <c r="BE46" s="18"/>
      <c r="BF46" s="18"/>
      <c r="BG46" s="18">
        <v>128</v>
      </c>
      <c r="BH46" s="18">
        <v>145</v>
      </c>
      <c r="BI46" s="18">
        <v>140</v>
      </c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>
        <f>132+D46</f>
        <v>144</v>
      </c>
      <c r="CL46" s="18">
        <f>103+D46</f>
        <v>115</v>
      </c>
      <c r="CM46" s="18">
        <f>118+D46</f>
        <v>130</v>
      </c>
      <c r="CN46" s="18">
        <f>117+D46</f>
        <v>129</v>
      </c>
      <c r="CO46" s="18">
        <f>169+D46</f>
        <v>181</v>
      </c>
      <c r="CP46" s="18">
        <f>143+D46</f>
        <v>155</v>
      </c>
      <c r="CQ46" s="18"/>
      <c r="CR46" s="18"/>
      <c r="CS46" s="18"/>
      <c r="CT46" s="18"/>
      <c r="CU46" s="18"/>
      <c r="CV46" s="18"/>
      <c r="CW46" s="18">
        <f>122+D46</f>
        <v>134</v>
      </c>
      <c r="CX46" s="18">
        <f>106+D46</f>
        <v>118</v>
      </c>
      <c r="CY46" s="18">
        <f>104+D46</f>
        <v>116</v>
      </c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266" t="str">
        <f>A46</f>
        <v>조연희</v>
      </c>
      <c r="EW46" s="144">
        <f>IFERROR(SUM(ER46:ET46)/3,0)</f>
        <v>0</v>
      </c>
      <c r="EX46" s="358" t="str">
        <f>A46</f>
        <v>조연희</v>
      </c>
      <c r="EY46" s="359">
        <f>IFERROR(IF(COUNT($E46:EU46)&gt;20,(SUM( INDEX((($E46:EU46&lt;&gt;"")*COLUMN($E46:EU46)&lt;= LARGE(INDEX(($E46:EU46&lt;&gt;"")*COLUMN($E46:EU46),),1))*$E46:EU46,)) - SUM(INDEX((($E46:EU46&lt;&gt;"")*COLUMN($E46:EU46)&lt; LARGE(INDEX(($E46:EU46&lt;&gt;"")*COLUMN($E46:EU46),),20))*$E46:EU46,)))/20,SUM($E46:EU46)/COUNT($E46:EU46)),0)</f>
        <v>138.69999999999999</v>
      </c>
      <c r="EZ46" s="359">
        <f>IFERROR(IF(COUNT($E46:EU46)&gt;10,(SUM( INDEX((($E46:EU46&lt;&gt;"")*COLUMN($E46:EU46)&lt;= LARGE(INDEX(($E46:EU46&lt;&gt;"")*COLUMN($E46:EU46),),1))*$E46:EU46,)) - SUM(INDEX((($E46:EU46&lt;&gt;"")*COLUMN($E46:EU46)&lt; LARGE(INDEX(($E46:EU46&lt;&gt;"")*COLUMN($E46:EU46),),10))*$E46:EU46,)))/10,SUM($E46:EU46)/COUNT($E46:EU46)),0)</f>
        <v>136.19999999999999</v>
      </c>
      <c r="FA46" s="360">
        <f>EZ46-EY46</f>
        <v>-2.5</v>
      </c>
      <c r="FB46" s="163">
        <f>MAX(EX46:EX46)</f>
        <v>0</v>
      </c>
      <c r="FC46" s="361" t="s">
        <v>346</v>
      </c>
    </row>
    <row r="47" spans="1:159">
      <c r="A47" s="48" t="s">
        <v>333</v>
      </c>
      <c r="B47" s="48" t="s">
        <v>194</v>
      </c>
      <c r="C47" s="48" t="s">
        <v>156</v>
      </c>
      <c r="D47" s="49">
        <v>10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266"/>
      <c r="AF47" s="144"/>
      <c r="AG47" s="17"/>
      <c r="AH47" s="18"/>
      <c r="AI47" s="17"/>
      <c r="AJ47" s="18"/>
      <c r="AK47" s="144"/>
      <c r="AL47" s="144"/>
      <c r="AM47" s="348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/>
      <c r="CR47" s="45"/>
      <c r="CS47" s="45"/>
      <c r="CT47" s="45"/>
      <c r="CU47" s="45"/>
      <c r="CV47" s="45"/>
      <c r="CW47" s="45"/>
      <c r="CX47" s="45"/>
      <c r="CY47" s="45"/>
      <c r="CZ47" s="45"/>
      <c r="DA47" s="18"/>
      <c r="DB47" s="45"/>
      <c r="DC47" s="45"/>
      <c r="DD47" s="45"/>
      <c r="DE47" s="45"/>
      <c r="DF47" s="45"/>
      <c r="DG47" s="45"/>
      <c r="DH47" s="18">
        <v>89</v>
      </c>
      <c r="DI47" s="18">
        <v>116</v>
      </c>
      <c r="DJ47" s="18">
        <v>157</v>
      </c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45"/>
      <c r="EV47" s="266" t="str">
        <f>A47</f>
        <v>이해신</v>
      </c>
      <c r="EW47" s="144">
        <f>IFERROR(SUM(ER47:ET47)/3,0)</f>
        <v>0</v>
      </c>
      <c r="EX47" s="404"/>
      <c r="EY47" s="144">
        <f>IFERROR(IF(COUNT($E47:EU47)&gt;20,(SUM( INDEX((($E47:EU47&lt;&gt;"")*COLUMN($E47:EU47)&lt;= LARGE(INDEX(($E47:EU47&lt;&gt;"")*COLUMN($E47:EU47),),1))*$E47:EU47,)) - SUM(INDEX((($E47:EU47&lt;&gt;"")*COLUMN($E47:EU47)&lt; LARGE(INDEX(($E47:EU47&lt;&gt;"")*COLUMN($E47:EU47),),20))*$E47:EU47,)))/20,SUM($E47:EU47)/COUNT($E47:EU47)),0)</f>
        <v>120.66666666666667</v>
      </c>
      <c r="EZ47" s="144">
        <f>IFERROR(IF(COUNT($E47:EU47)&gt;10,(SUM( INDEX((($E47:EU47&lt;&gt;"")*COLUMN($E47:EU47)&lt;= LARGE(INDEX(($E47:EU47&lt;&gt;"")*COLUMN($E47:EU47),),1))*$E47:EU47,)) - SUM(INDEX((($E47:EU47&lt;&gt;"")*COLUMN($E47:EU47)&lt; LARGE(INDEX(($E47:EU47&lt;&gt;"")*COLUMN($E47:EU47),),10))*$E47:EU47,)))/10,SUM($E47:EU47)/COUNT($E47:EU47)),0)</f>
        <v>120.66666666666667</v>
      </c>
      <c r="FA47" s="348">
        <f>EZ47-EY47</f>
        <v>0</v>
      </c>
      <c r="FC47" s="361" t="s">
        <v>346</v>
      </c>
    </row>
    <row r="48" spans="1:159">
      <c r="A48" s="252" t="s">
        <v>57</v>
      </c>
      <c r="B48" s="252" t="s">
        <v>191</v>
      </c>
      <c r="C48" s="252" t="s">
        <v>157</v>
      </c>
      <c r="D48" s="253">
        <v>12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5"/>
      <c r="S48" s="15"/>
      <c r="T48" s="15"/>
      <c r="U48" s="15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>
        <v>107</v>
      </c>
      <c r="AV48" s="14">
        <v>87</v>
      </c>
      <c r="AW48" s="14">
        <v>79</v>
      </c>
      <c r="AX48" s="14">
        <v>85</v>
      </c>
      <c r="AY48" s="14">
        <v>88</v>
      </c>
      <c r="AZ48" s="14">
        <v>112</v>
      </c>
      <c r="BA48" s="14"/>
      <c r="BB48" s="14"/>
      <c r="BC48" s="5"/>
      <c r="BD48" s="14">
        <v>100</v>
      </c>
      <c r="BE48" s="14">
        <v>109</v>
      </c>
      <c r="BF48" s="14">
        <v>99</v>
      </c>
      <c r="BG48" s="14"/>
      <c r="BH48" s="14"/>
      <c r="BI48" s="14"/>
      <c r="BJ48" s="14"/>
      <c r="BK48" s="14"/>
      <c r="BL48" s="14"/>
      <c r="BM48" s="14">
        <v>111</v>
      </c>
      <c r="BN48" s="14">
        <v>118</v>
      </c>
      <c r="BO48" s="14">
        <v>106</v>
      </c>
      <c r="BP48" s="14">
        <f>123+D48</f>
        <v>135</v>
      </c>
      <c r="BQ48" s="14">
        <f>55+D48</f>
        <v>67</v>
      </c>
      <c r="BR48" s="14">
        <f>88+D48</f>
        <v>100</v>
      </c>
      <c r="BS48" s="14">
        <v>124</v>
      </c>
      <c r="BT48" s="14">
        <v>115</v>
      </c>
      <c r="BU48" s="14">
        <v>101</v>
      </c>
      <c r="BV48" s="14">
        <f>97+D48</f>
        <v>109</v>
      </c>
      <c r="BW48" s="14">
        <f>103+D48</f>
        <v>115</v>
      </c>
      <c r="BX48" s="14">
        <f>95+D48</f>
        <v>107</v>
      </c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8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266" t="str">
        <f>A48</f>
        <v>김주현</v>
      </c>
      <c r="EW48" s="144">
        <f>IFERROR(SUM(ER48:ET48)/3,0)</f>
        <v>0</v>
      </c>
      <c r="EX48" s="358" t="str">
        <f>A48</f>
        <v>김주현</v>
      </c>
      <c r="EY48" s="144">
        <f>IFERROR(IF(COUNT($E48:EU48)&gt;20,(SUM( INDEX((($E48:EU48&lt;&gt;"")*COLUMN($E48:EU48)&lt;= LARGE(INDEX(($E48:EU48&lt;&gt;"")*COLUMN($E48:EU48),),1))*$E48:EU48,)) - SUM(INDEX((($E48:EU48&lt;&gt;"")*COLUMN($E48:EU48)&lt; LARGE(INDEX(($E48:EU48&lt;&gt;"")*COLUMN($E48:EU48),),20))*$E48:EU48,)))/20,SUM($E48:EU48)/COUNT($E48:EU48)),0)</f>
        <v>103.35</v>
      </c>
      <c r="EZ48" s="144">
        <f>IFERROR(IF(COUNT($E48:EU48)&gt;10,(SUM( INDEX((($E48:EU48&lt;&gt;"")*COLUMN($E48:EU48)&lt;= LARGE(INDEX(($E48:EU48&lt;&gt;"")*COLUMN($E48:EU48),),1))*$E48:EU48,)) - SUM(INDEX((($E48:EU48&lt;&gt;"")*COLUMN($E48:EU48)&lt; LARGE(INDEX(($E48:EU48&lt;&gt;"")*COLUMN($E48:EU48),),10))*$E48:EU48,)))/10,SUM($E48:EU48)/COUNT($E48:EU48)),0)</f>
        <v>107.9</v>
      </c>
      <c r="FA48" s="348">
        <f>EZ48-EY48</f>
        <v>4.5500000000000114</v>
      </c>
      <c r="FB48" s="163">
        <f>MAX(EX48:EX48)</f>
        <v>0</v>
      </c>
      <c r="FC48" s="361" t="s">
        <v>346</v>
      </c>
    </row>
    <row r="49" spans="1:164">
      <c r="A49" s="56" t="s">
        <v>51</v>
      </c>
      <c r="B49" s="56" t="s">
        <v>191</v>
      </c>
      <c r="C49" s="56" t="s">
        <v>157</v>
      </c>
      <c r="D49" s="57">
        <v>15</v>
      </c>
      <c r="E49" s="362"/>
      <c r="F49" s="362"/>
      <c r="G49" s="362"/>
      <c r="H49" s="362"/>
      <c r="I49" s="362"/>
      <c r="J49" s="362"/>
      <c r="K49" s="362"/>
      <c r="L49" s="362"/>
      <c r="M49" s="362"/>
      <c r="N49" s="362"/>
      <c r="O49" s="362"/>
      <c r="P49" s="362"/>
      <c r="Q49" s="362"/>
      <c r="R49" s="5"/>
      <c r="S49" s="406"/>
      <c r="T49" s="406"/>
      <c r="U49" s="406"/>
      <c r="V49" s="362"/>
      <c r="W49" s="362"/>
      <c r="X49" s="362"/>
      <c r="Y49" s="362"/>
      <c r="Z49" s="362"/>
      <c r="AA49" s="362"/>
      <c r="AB49" s="362"/>
      <c r="AC49" s="362"/>
      <c r="AD49" s="362"/>
      <c r="AE49" s="362"/>
      <c r="AF49" s="362"/>
      <c r="AG49" s="362"/>
      <c r="AH49" s="362"/>
      <c r="AI49" s="362"/>
      <c r="AJ49" s="362"/>
      <c r="AK49" s="362"/>
      <c r="AL49" s="24"/>
      <c r="AM49" s="24"/>
      <c r="AN49" s="24"/>
      <c r="AO49" s="24">
        <v>113</v>
      </c>
      <c r="AP49" s="24">
        <v>93</v>
      </c>
      <c r="AQ49" s="24">
        <v>109</v>
      </c>
      <c r="AR49" s="24"/>
      <c r="AS49" s="24"/>
      <c r="AT49" s="24"/>
      <c r="AU49" s="24"/>
      <c r="AV49" s="24"/>
      <c r="AW49" s="24"/>
      <c r="AX49" s="24">
        <v>88</v>
      </c>
      <c r="AY49" s="24">
        <v>96</v>
      </c>
      <c r="AZ49" s="24">
        <v>115</v>
      </c>
      <c r="BA49" s="24"/>
      <c r="BB49" s="24"/>
      <c r="BC49" s="5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266" t="str">
        <f>A49</f>
        <v>김민지</v>
      </c>
      <c r="EW49" s="144">
        <f>IFERROR(SUM(ER49:ET49)/3,0)</f>
        <v>0</v>
      </c>
      <c r="EX49" s="437" t="str">
        <f>A49</f>
        <v>김민지</v>
      </c>
      <c r="EY49" s="359">
        <f>IFERROR(IF(COUNT($E49:EU49)&gt;20,(SUM( INDEX((($E49:EU49&lt;&gt;"")*COLUMN($E49:EU49)&lt;= LARGE(INDEX(($E49:EU49&lt;&gt;"")*COLUMN($E49:EU49),),1))*$E49:EU49,)) - SUM(INDEX((($E49:EU49&lt;&gt;"")*COLUMN($E49:EU49)&lt; LARGE(INDEX(($E49:EU49&lt;&gt;"")*COLUMN($E49:EU49),),20))*$E49:EU49,)))/20,SUM($E49:EU49)/COUNT($E49:EU49)),0)</f>
        <v>102.33333333333333</v>
      </c>
      <c r="EZ49" s="359">
        <f>IFERROR(IF(COUNT($E49:EU49)&gt;10,(SUM( INDEX((($E49:EU49&lt;&gt;"")*COLUMN($E49:EU49)&lt;= LARGE(INDEX(($E49:EU49&lt;&gt;"")*COLUMN($E49:EU49),),1))*$E49:EU49,)) - SUM(INDEX((($E49:EU49&lt;&gt;"")*COLUMN($E49:EU49)&lt; LARGE(INDEX(($E49:EU49&lt;&gt;"")*COLUMN($E49:EU49),),10))*$E49:EU49,)))/10,SUM($E49:EU49)/COUNT($E49:EU49)),0)</f>
        <v>102.33333333333333</v>
      </c>
      <c r="FA49" s="360">
        <f>EZ49-EY49</f>
        <v>0</v>
      </c>
      <c r="FB49" s="163">
        <f>MAX(EX49:EX49)</f>
        <v>0</v>
      </c>
      <c r="FC49" s="361" t="s">
        <v>346</v>
      </c>
    </row>
    <row r="50" spans="1:164">
      <c r="A50" s="55" t="s">
        <v>55</v>
      </c>
      <c r="B50" s="55" t="s">
        <v>191</v>
      </c>
      <c r="C50" s="55" t="s">
        <v>156</v>
      </c>
      <c r="D50" s="18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5"/>
      <c r="S50" s="242"/>
      <c r="T50" s="242"/>
      <c r="U50" s="242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5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266" t="str">
        <f>A50</f>
        <v>김영민</v>
      </c>
      <c r="EW50" s="144">
        <f>IFERROR(SUM(ER50:ET50)/3,0)</f>
        <v>0</v>
      </c>
      <c r="EX50" s="437" t="str">
        <f>A50</f>
        <v>김영민</v>
      </c>
      <c r="EY50" s="359">
        <f>IFERROR(IF(COUNT($E50:EU50)&gt;20,(SUM( INDEX((($E50:EU50&lt;&gt;"")*COLUMN($E50:EU50)&lt;= LARGE(INDEX(($E50:EU50&lt;&gt;"")*COLUMN($E50:EU50),),1))*$E50:EU50,)) - SUM(INDEX((($E50:EU50&lt;&gt;"")*COLUMN($E50:EU50)&lt; LARGE(INDEX(($E50:EU50&lt;&gt;"")*COLUMN($E50:EU50),),20))*$E50:EU50,)))/20,SUM($E50:EU50)/COUNT($E50:EU50)),0)</f>
        <v>0</v>
      </c>
      <c r="EZ50" s="359">
        <f>IFERROR(IF(COUNT($E50:EU50)&gt;10,(SUM( INDEX((($E50:EU50&lt;&gt;"")*COLUMN($E50:EU50)&lt;= LARGE(INDEX(($E50:EU50&lt;&gt;"")*COLUMN($E50:EU50),),1))*$E50:EU50,)) - SUM(INDEX((($E50:EU50&lt;&gt;"")*COLUMN($E50:EU50)&lt; LARGE(INDEX(($E50:EU50&lt;&gt;"")*COLUMN($E50:EU50),),10))*$E50:EU50,)))/10,SUM($E50:EU50)/COUNT($E50:EU50)),0)</f>
        <v>0</v>
      </c>
      <c r="FA50" s="360">
        <f>EZ50-EY50</f>
        <v>0</v>
      </c>
      <c r="FB50" s="163">
        <f>MAX(EX50:EX50)</f>
        <v>0</v>
      </c>
      <c r="FC50" s="361" t="s">
        <v>346</v>
      </c>
    </row>
    <row r="51" spans="1:164">
      <c r="A51" s="435" t="s">
        <v>454</v>
      </c>
      <c r="B51" s="48" t="s">
        <v>194</v>
      </c>
      <c r="C51" s="48" t="s">
        <v>156</v>
      </c>
      <c r="D51" s="49">
        <v>10</v>
      </c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45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45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45"/>
      <c r="DA51" s="45"/>
      <c r="DB51" s="45"/>
      <c r="DC51" s="45"/>
      <c r="DD51" s="45"/>
      <c r="DE51" s="45"/>
      <c r="DF51" s="45"/>
      <c r="DG51" s="45"/>
      <c r="DH51" s="45"/>
      <c r="DI51" s="45"/>
      <c r="DJ51" s="45"/>
      <c r="DK51" s="45"/>
      <c r="DL51" s="45"/>
      <c r="DM51" s="45"/>
      <c r="DN51" s="45"/>
      <c r="DO51" s="45"/>
      <c r="DP51" s="45"/>
      <c r="DQ51" s="45"/>
      <c r="DR51" s="45"/>
      <c r="DS51" s="45"/>
      <c r="DT51" s="45"/>
      <c r="DU51" s="45"/>
      <c r="DV51" s="45"/>
      <c r="DW51" s="45"/>
      <c r="DX51" s="45"/>
      <c r="DY51" s="45"/>
      <c r="DZ51" s="45"/>
      <c r="EA51" s="45"/>
      <c r="EB51" s="45"/>
      <c r="EC51" s="45"/>
      <c r="ED51" s="45"/>
      <c r="EE51" s="45"/>
      <c r="EF51" s="45"/>
      <c r="EG51" s="45"/>
      <c r="EH51" s="45"/>
      <c r="EI51" s="45"/>
      <c r="EJ51" s="45"/>
      <c r="EK51" s="45"/>
      <c r="EL51" s="45"/>
      <c r="EM51" s="45"/>
      <c r="EN51" s="45"/>
      <c r="EO51" s="45"/>
      <c r="EP51" s="45"/>
      <c r="EQ51" s="45"/>
      <c r="ER51" s="45"/>
      <c r="ES51" s="45"/>
      <c r="ET51" s="45"/>
      <c r="EU51" s="45"/>
      <c r="EV51" s="266" t="str">
        <f>A51</f>
        <v>권효상</v>
      </c>
      <c r="EW51" s="144">
        <f>IFERROR(SUM(ER51:ET51)/3,0)</f>
        <v>0</v>
      </c>
      <c r="EY51" s="144">
        <f>IFERROR(IF(COUNT($E51:EU51)&gt;20,(SUM( INDEX((($E51:EU51&lt;&gt;"")*COLUMN($E51:EU51)&lt;= LARGE(INDEX(($E51:EU51&lt;&gt;"")*COLUMN($E51:EU51),),1))*$E51:EU51,)) - SUM(INDEX((($E51:EU51&lt;&gt;"")*COLUMN($E51:EU51)&lt; LARGE(INDEX(($E51:EU51&lt;&gt;"")*COLUMN($E51:EU51),),20))*$E51:EU51,)))/20,SUM($E51:EU51)/COUNT($E51:EU51)),0)</f>
        <v>0</v>
      </c>
      <c r="EZ51" s="144">
        <f>IFERROR(IF(COUNT($E51:EU51)&gt;10,(SUM( INDEX((($E51:EU51&lt;&gt;"")*COLUMN($E51:EU51)&lt;= LARGE(INDEX(($E51:EU51&lt;&gt;"")*COLUMN($E51:EU51),),1))*$E51:EU51,)) - SUM(INDEX((($E51:EU51&lt;&gt;"")*COLUMN($E51:EU51)&lt; LARGE(INDEX(($E51:EU51&lt;&gt;"")*COLUMN($E51:EU51),),10))*$E51:EU51,)))/10,SUM($E51:EU51)/COUNT($E51:EU51)),0)</f>
        <v>0</v>
      </c>
      <c r="FA51" s="348">
        <f>EZ51-EY51</f>
        <v>0</v>
      </c>
      <c r="FB51" s="442"/>
      <c r="FC51" s="159" t="s">
        <v>462</v>
      </c>
    </row>
    <row r="52" spans="1:164">
      <c r="EY52" s="365"/>
      <c r="EZ52" s="364"/>
    </row>
    <row r="53" spans="1:164">
      <c r="EY53" s="366"/>
      <c r="EZ53" s="364"/>
    </row>
    <row r="54" spans="1:164">
      <c r="EY54" s="366"/>
      <c r="EZ54" s="364"/>
    </row>
    <row r="55" spans="1:164">
      <c r="EY55" s="366"/>
      <c r="EZ55" s="364"/>
      <c r="FD55" s="392"/>
      <c r="FE55" s="365"/>
    </row>
    <row r="56" spans="1:164">
      <c r="EY56" s="366"/>
      <c r="EZ56" s="364"/>
      <c r="FD56" s="393"/>
      <c r="FE56" s="366"/>
    </row>
    <row r="57" spans="1:164">
      <c r="EY57" s="366"/>
      <c r="EZ57" s="364"/>
      <c r="FD57" s="393"/>
      <c r="FE57" s="366"/>
    </row>
    <row r="58" spans="1:164">
      <c r="EY58" s="366"/>
      <c r="EZ58" s="364"/>
      <c r="FD58" s="393"/>
      <c r="FE58" s="366"/>
    </row>
    <row r="59" spans="1:164">
      <c r="EY59" s="366"/>
      <c r="EZ59" s="364"/>
      <c r="FD59" s="393"/>
      <c r="FE59" s="366"/>
    </row>
    <row r="60" spans="1:164">
      <c r="EY60" s="366"/>
      <c r="EZ60" s="364"/>
      <c r="FD60" s="393"/>
      <c r="FE60" s="392"/>
      <c r="FF60" s="365"/>
      <c r="FG60" s="246"/>
      <c r="FH60" s="246"/>
    </row>
    <row r="61" spans="1:164">
      <c r="EY61" s="366"/>
      <c r="EZ61" s="364"/>
      <c r="FD61" s="394"/>
      <c r="FE61" s="393"/>
      <c r="FF61" s="366"/>
      <c r="FG61" s="92"/>
      <c r="FH61" s="246"/>
    </row>
    <row r="62" spans="1:164">
      <c r="EY62" s="366"/>
      <c r="EZ62" s="364"/>
      <c r="FD62" s="393"/>
      <c r="FE62" s="393"/>
      <c r="FF62" s="366"/>
      <c r="FG62" s="92"/>
      <c r="FH62" s="246"/>
    </row>
    <row r="63" spans="1:164">
      <c r="EY63" s="366"/>
      <c r="EZ63" s="364"/>
      <c r="FD63" s="393"/>
      <c r="FE63" s="394"/>
      <c r="FF63" s="366"/>
      <c r="FG63" s="92"/>
      <c r="FH63" s="246"/>
    </row>
    <row r="64" spans="1:164">
      <c r="EY64" s="366"/>
      <c r="EZ64" s="364"/>
      <c r="FD64" s="246"/>
      <c r="FE64" s="393"/>
      <c r="FF64" s="366"/>
      <c r="FG64" s="92"/>
      <c r="FH64" s="246"/>
    </row>
    <row r="65" spans="155:164">
      <c r="EY65" s="366"/>
      <c r="EZ65" s="364"/>
      <c r="FD65" s="246"/>
      <c r="FE65" s="393"/>
      <c r="FF65" s="366"/>
      <c r="FG65" s="92"/>
      <c r="FH65" s="246"/>
    </row>
    <row r="66" spans="155:164">
      <c r="EY66" s="366"/>
      <c r="EZ66" s="364"/>
      <c r="FD66" s="246"/>
      <c r="FE66" s="393"/>
      <c r="FF66" s="366"/>
      <c r="FG66" s="92"/>
      <c r="FH66" s="246"/>
    </row>
    <row r="67" spans="155:164">
      <c r="EY67" s="366"/>
      <c r="EZ67" s="364"/>
      <c r="FD67" s="246"/>
      <c r="FE67" s="393"/>
      <c r="FF67" s="366"/>
      <c r="FG67" s="92"/>
      <c r="FH67" s="246"/>
    </row>
    <row r="68" spans="155:164">
      <c r="EY68" s="366"/>
      <c r="EZ68" s="364"/>
      <c r="FD68" s="246"/>
      <c r="FE68" s="393"/>
      <c r="FF68" s="366"/>
      <c r="FG68" s="92"/>
      <c r="FH68" s="246"/>
    </row>
    <row r="69" spans="155:164">
      <c r="EY69" s="364"/>
      <c r="EZ69" s="364"/>
      <c r="FD69" s="246"/>
      <c r="FE69" s="393"/>
      <c r="FF69" s="366"/>
      <c r="FG69" s="92"/>
      <c r="FH69" s="246"/>
    </row>
    <row r="70" spans="155:164">
      <c r="EY70" s="364"/>
      <c r="EZ70" s="364"/>
      <c r="FD70" s="246"/>
      <c r="FE70" s="393"/>
      <c r="FF70" s="366"/>
      <c r="FG70" s="92"/>
      <c r="FH70" s="246"/>
    </row>
    <row r="71" spans="155:164">
      <c r="FD71" s="246"/>
      <c r="FE71" s="393"/>
      <c r="FF71" s="366"/>
      <c r="FG71" s="92"/>
      <c r="FH71" s="246"/>
    </row>
    <row r="72" spans="155:164">
      <c r="FD72" s="246"/>
      <c r="FE72" s="393"/>
      <c r="FF72" s="366"/>
      <c r="FG72" s="92"/>
      <c r="FH72" s="246"/>
    </row>
    <row r="73" spans="155:164">
      <c r="FD73" s="246"/>
      <c r="FE73" s="393"/>
      <c r="FF73" s="366"/>
      <c r="FG73" s="92"/>
      <c r="FH73" s="246"/>
    </row>
    <row r="74" spans="155:164">
      <c r="FD74" s="246"/>
      <c r="FE74" s="393"/>
      <c r="FF74" s="366"/>
      <c r="FG74" s="92"/>
      <c r="FH74" s="246"/>
    </row>
    <row r="75" spans="155:164">
      <c r="FD75" s="246"/>
      <c r="FE75" s="393"/>
      <c r="FF75" s="366"/>
      <c r="FG75" s="92"/>
      <c r="FH75" s="246"/>
    </row>
  </sheetData>
  <autoFilter ref="A3:XAX51">
    <filterColumn colId="1">
      <filters>
        <filter val="Y"/>
      </filters>
    </filterColumn>
    <sortState ref="A4:XAX51">
      <sortCondition descending="1" ref="EW3:EW51"/>
    </sortState>
  </autoFilter>
  <mergeCells count="49">
    <mergeCell ref="ER2:ET2"/>
    <mergeCell ref="EL2:EN2"/>
    <mergeCell ref="EF2:EH2"/>
    <mergeCell ref="EC2:EE2"/>
    <mergeCell ref="E2:G2"/>
    <mergeCell ref="AA2:AC2"/>
    <mergeCell ref="V2:X2"/>
    <mergeCell ref="Y2:Z2"/>
    <mergeCell ref="AD2:AE2"/>
    <mergeCell ref="AI2:AK2"/>
    <mergeCell ref="AF2:AH2"/>
    <mergeCell ref="H2:I2"/>
    <mergeCell ref="J2:L2"/>
    <mergeCell ref="M2:O2"/>
    <mergeCell ref="P2:Q2"/>
    <mergeCell ref="S2:U2"/>
    <mergeCell ref="DT2:DV2"/>
    <mergeCell ref="AL2:AN2"/>
    <mergeCell ref="AO2:AQ2"/>
    <mergeCell ref="AR2:AT2"/>
    <mergeCell ref="AX2:AZ2"/>
    <mergeCell ref="BA2:BB2"/>
    <mergeCell ref="AU2:AW2"/>
    <mergeCell ref="BJ2:BL2"/>
    <mergeCell ref="BM2:BO2"/>
    <mergeCell ref="DQ2:DS2"/>
    <mergeCell ref="DN2:DP2"/>
    <mergeCell ref="DK2:DM2"/>
    <mergeCell ref="DH2:DJ2"/>
    <mergeCell ref="BS2:BU2"/>
    <mergeCell ref="CW2:CY2"/>
    <mergeCell ref="DE2:DG2"/>
    <mergeCell ref="DB2:DD2"/>
    <mergeCell ref="EO2:EQ2"/>
    <mergeCell ref="EI2:EK2"/>
    <mergeCell ref="DZ2:EB2"/>
    <mergeCell ref="DW2:DY2"/>
    <mergeCell ref="BD2:BF2"/>
    <mergeCell ref="CT2:CV2"/>
    <mergeCell ref="CQ2:CS2"/>
    <mergeCell ref="CN2:CP2"/>
    <mergeCell ref="CH2:CJ2"/>
    <mergeCell ref="BP2:BR2"/>
    <mergeCell ref="BG2:BI2"/>
    <mergeCell ref="CE2:CG2"/>
    <mergeCell ref="CB2:CD2"/>
    <mergeCell ref="CK2:CM2"/>
    <mergeCell ref="BY2:CA2"/>
    <mergeCell ref="BV2:BX2"/>
  </mergeCells>
  <phoneticPr fontId="2" type="noConversion"/>
  <conditionalFormatting sqref="E43:S43 EZ52:FA54 EY55:FA9999 D52:EV9999 AK43:EU43 EY4:FA47 E44:EU47 D4:EU9 E49:EU51 D11:EU28 D10:EE10 EU10 D30:EU42 D29:DV29 EC29:EU29">
    <cfRule type="cellIs" dxfId="758" priority="32" operator="greaterThanOrEqual">
      <formula>200</formula>
    </cfRule>
  </conditionalFormatting>
  <conditionalFormatting sqref="EW4:EW9999">
    <cfRule type="cellIs" dxfId="757" priority="31" operator="greaterThanOrEqual">
      <formula>200</formula>
    </cfRule>
  </conditionalFormatting>
  <conditionalFormatting sqref="D43">
    <cfRule type="cellIs" dxfId="756" priority="30" operator="greaterThanOrEqual">
      <formula>200</formula>
    </cfRule>
  </conditionalFormatting>
  <conditionalFormatting sqref="AG43:AJ43 T43:AD43">
    <cfRule type="cellIs" dxfId="755" priority="29" operator="greaterThanOrEqual">
      <formula>200</formula>
    </cfRule>
  </conditionalFormatting>
  <conditionalFormatting sqref="AF43">
    <cfRule type="cellIs" dxfId="754" priority="28" operator="greaterThanOrEqual">
      <formula>200</formula>
    </cfRule>
  </conditionalFormatting>
  <conditionalFormatting sqref="D44">
    <cfRule type="cellIs" dxfId="753" priority="27" operator="greaterThanOrEqual">
      <formula>200</formula>
    </cfRule>
  </conditionalFormatting>
  <conditionalFormatting sqref="EY53:EY54">
    <cfRule type="cellIs" dxfId="752" priority="26" operator="greaterThanOrEqual">
      <formula>200</formula>
    </cfRule>
  </conditionalFormatting>
  <conditionalFormatting sqref="FE56:FE59">
    <cfRule type="cellIs" dxfId="751" priority="25" operator="greaterThanOrEqual">
      <formula>200</formula>
    </cfRule>
  </conditionalFormatting>
  <conditionalFormatting sqref="D46">
    <cfRule type="cellIs" dxfId="750" priority="23" operator="greaterThanOrEqual">
      <formula>200</formula>
    </cfRule>
  </conditionalFormatting>
  <conditionalFormatting sqref="D47">
    <cfRule type="cellIs" dxfId="749" priority="22" operator="greaterThanOrEqual">
      <formula>200</formula>
    </cfRule>
  </conditionalFormatting>
  <conditionalFormatting sqref="E48:DP48 EU48 EY48:FA51">
    <cfRule type="cellIs" dxfId="748" priority="21" operator="greaterThanOrEqual">
      <formula>200</formula>
    </cfRule>
  </conditionalFormatting>
  <conditionalFormatting sqref="D48">
    <cfRule type="cellIs" dxfId="747" priority="18" operator="greaterThanOrEqual">
      <formula>200</formula>
    </cfRule>
  </conditionalFormatting>
  <conditionalFormatting sqref="DQ48">
    <cfRule type="cellIs" dxfId="746" priority="17" operator="greaterThanOrEqual">
      <formula>200</formula>
    </cfRule>
  </conditionalFormatting>
  <conditionalFormatting sqref="DR48">
    <cfRule type="cellIs" dxfId="745" priority="16" operator="greaterThanOrEqual">
      <formula>200</formula>
    </cfRule>
  </conditionalFormatting>
  <conditionalFormatting sqref="DS48:ET48">
    <cfRule type="cellIs" dxfId="744" priority="15" operator="greaterThanOrEqual">
      <formula>200</formula>
    </cfRule>
  </conditionalFormatting>
  <conditionalFormatting sqref="D45">
    <cfRule type="cellIs" dxfId="743" priority="14" operator="greaterThanOrEqual">
      <formula>200</formula>
    </cfRule>
  </conditionalFormatting>
  <conditionalFormatting sqref="D49">
    <cfRule type="cellIs" dxfId="742" priority="13" operator="greaterThanOrEqual">
      <formula>200</formula>
    </cfRule>
  </conditionalFormatting>
  <conditionalFormatting sqref="D50">
    <cfRule type="cellIs" dxfId="741" priority="12" operator="greaterThanOrEqual">
      <formula>200</formula>
    </cfRule>
  </conditionalFormatting>
  <conditionalFormatting sqref="D51">
    <cfRule type="cellIs" dxfId="740" priority="10" operator="greaterThanOrEqual">
      <formula>200</formula>
    </cfRule>
  </conditionalFormatting>
  <conditionalFormatting sqref="EF10:ET10">
    <cfRule type="cellIs" dxfId="739" priority="9" operator="greaterThanOrEqual">
      <formula>200</formula>
    </cfRule>
  </conditionalFormatting>
  <conditionalFormatting sqref="DW29:EB29">
    <cfRule type="cellIs" dxfId="738" priority="8" operator="greaterThanOrEqual">
      <formula>200</formula>
    </cfRule>
  </conditionalFormatting>
  <conditionalFormatting sqref="FF73">
    <cfRule type="cellIs" dxfId="737" priority="3" operator="greaterThanOrEqual">
      <formula>200</formula>
    </cfRule>
  </conditionalFormatting>
  <conditionalFormatting sqref="FF61:FF74">
    <cfRule type="cellIs" dxfId="736" priority="5" operator="greaterThanOrEqual">
      <formula>200</formula>
    </cfRule>
  </conditionalFormatting>
  <conditionalFormatting sqref="FF74:FF75">
    <cfRule type="cellIs" dxfId="735" priority="4" operator="greaterThanOrEqual">
      <formula>200</formula>
    </cfRule>
  </conditionalFormatting>
  <conditionalFormatting sqref="FF74">
    <cfRule type="cellIs" dxfId="734" priority="1" operator="greaterThanOrEqual">
      <formula>200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filterMode="1">
    <tabColor theme="5" tint="0.59999389629810485"/>
  </sheetPr>
  <dimension ref="A1:XFD38"/>
  <sheetViews>
    <sheetView zoomScale="75" zoomScaleNormal="75" workbookViewId="0">
      <selection activeCell="H1" sqref="F1:H1048576"/>
    </sheetView>
  </sheetViews>
  <sheetFormatPr defaultRowHeight="16.5" outlineLevelCol="2"/>
  <cols>
    <col min="2" max="4" width="9" customWidth="1"/>
    <col min="5" max="5" width="3.5" customWidth="1"/>
    <col min="6" max="11" width="9.875" customWidth="1"/>
    <col min="12" max="21" width="14.625" customWidth="1" outlineLevel="1"/>
    <col min="22" max="22" width="14.625" customWidth="1" outlineLevel="1" collapsed="1"/>
    <col min="23" max="58" width="14.625" customWidth="1" outlineLevel="2"/>
    <col min="59" max="59" width="14.625" customWidth="1" outlineLevel="1"/>
    <col min="60" max="72" width="14.625" customWidth="1" outlineLevel="2"/>
    <col min="73" max="73" width="14.625" customWidth="1" outlineLevel="1"/>
    <col min="74" max="75" width="14.625" style="117" customWidth="1"/>
    <col min="76" max="76" width="9" style="157" customWidth="1"/>
    <col min="77" max="77" width="9" style="157"/>
    <col min="273" max="308" width="0" hidden="1" customWidth="1"/>
    <col min="310" max="322" width="0" hidden="1" customWidth="1"/>
    <col min="529" max="564" width="0" hidden="1" customWidth="1"/>
    <col min="566" max="578" width="0" hidden="1" customWidth="1"/>
    <col min="785" max="820" width="0" hidden="1" customWidth="1"/>
    <col min="822" max="834" width="0" hidden="1" customWidth="1"/>
    <col min="1041" max="1076" width="0" hidden="1" customWidth="1"/>
    <col min="1078" max="1090" width="0" hidden="1" customWidth="1"/>
    <col min="1297" max="1332" width="0" hidden="1" customWidth="1"/>
    <col min="1334" max="1346" width="0" hidden="1" customWidth="1"/>
    <col min="1553" max="1588" width="0" hidden="1" customWidth="1"/>
    <col min="1590" max="1602" width="0" hidden="1" customWidth="1"/>
    <col min="1809" max="1844" width="0" hidden="1" customWidth="1"/>
    <col min="1846" max="1858" width="0" hidden="1" customWidth="1"/>
    <col min="2065" max="2100" width="0" hidden="1" customWidth="1"/>
    <col min="2102" max="2114" width="0" hidden="1" customWidth="1"/>
    <col min="2321" max="2356" width="0" hidden="1" customWidth="1"/>
    <col min="2358" max="2370" width="0" hidden="1" customWidth="1"/>
    <col min="2577" max="2612" width="0" hidden="1" customWidth="1"/>
    <col min="2614" max="2626" width="0" hidden="1" customWidth="1"/>
    <col min="2833" max="2868" width="0" hidden="1" customWidth="1"/>
    <col min="2870" max="2882" width="0" hidden="1" customWidth="1"/>
    <col min="3089" max="3124" width="0" hidden="1" customWidth="1"/>
    <col min="3126" max="3138" width="0" hidden="1" customWidth="1"/>
    <col min="3345" max="3380" width="0" hidden="1" customWidth="1"/>
    <col min="3382" max="3394" width="0" hidden="1" customWidth="1"/>
    <col min="3601" max="3636" width="0" hidden="1" customWidth="1"/>
    <col min="3638" max="3650" width="0" hidden="1" customWidth="1"/>
    <col min="3857" max="3892" width="0" hidden="1" customWidth="1"/>
    <col min="3894" max="3906" width="0" hidden="1" customWidth="1"/>
    <col min="4113" max="4148" width="0" hidden="1" customWidth="1"/>
    <col min="4150" max="4162" width="0" hidden="1" customWidth="1"/>
    <col min="4369" max="4404" width="0" hidden="1" customWidth="1"/>
    <col min="4406" max="4418" width="0" hidden="1" customWidth="1"/>
    <col min="4625" max="4660" width="0" hidden="1" customWidth="1"/>
    <col min="4662" max="4674" width="0" hidden="1" customWidth="1"/>
    <col min="4881" max="4916" width="0" hidden="1" customWidth="1"/>
    <col min="4918" max="4930" width="0" hidden="1" customWidth="1"/>
    <col min="5137" max="5172" width="0" hidden="1" customWidth="1"/>
    <col min="5174" max="5186" width="0" hidden="1" customWidth="1"/>
    <col min="5393" max="5428" width="0" hidden="1" customWidth="1"/>
    <col min="5430" max="5442" width="0" hidden="1" customWidth="1"/>
    <col min="5649" max="5684" width="0" hidden="1" customWidth="1"/>
    <col min="5686" max="5698" width="0" hidden="1" customWidth="1"/>
    <col min="5905" max="5940" width="0" hidden="1" customWidth="1"/>
    <col min="5942" max="5954" width="0" hidden="1" customWidth="1"/>
    <col min="6161" max="6196" width="0" hidden="1" customWidth="1"/>
    <col min="6198" max="6210" width="0" hidden="1" customWidth="1"/>
    <col min="6417" max="6452" width="0" hidden="1" customWidth="1"/>
    <col min="6454" max="6466" width="0" hidden="1" customWidth="1"/>
    <col min="6673" max="6708" width="0" hidden="1" customWidth="1"/>
    <col min="6710" max="6722" width="0" hidden="1" customWidth="1"/>
    <col min="6929" max="6964" width="0" hidden="1" customWidth="1"/>
    <col min="6966" max="6978" width="0" hidden="1" customWidth="1"/>
    <col min="7185" max="7220" width="0" hidden="1" customWidth="1"/>
    <col min="7222" max="7234" width="0" hidden="1" customWidth="1"/>
    <col min="7441" max="7476" width="0" hidden="1" customWidth="1"/>
    <col min="7478" max="7490" width="0" hidden="1" customWidth="1"/>
    <col min="7697" max="7732" width="0" hidden="1" customWidth="1"/>
    <col min="7734" max="7746" width="0" hidden="1" customWidth="1"/>
    <col min="7953" max="7988" width="0" hidden="1" customWidth="1"/>
    <col min="7990" max="8002" width="0" hidden="1" customWidth="1"/>
    <col min="8209" max="8244" width="0" hidden="1" customWidth="1"/>
    <col min="8246" max="8258" width="0" hidden="1" customWidth="1"/>
    <col min="8465" max="8500" width="0" hidden="1" customWidth="1"/>
    <col min="8502" max="8514" width="0" hidden="1" customWidth="1"/>
    <col min="8721" max="8756" width="0" hidden="1" customWidth="1"/>
    <col min="8758" max="8770" width="0" hidden="1" customWidth="1"/>
    <col min="8977" max="9012" width="0" hidden="1" customWidth="1"/>
    <col min="9014" max="9026" width="0" hidden="1" customWidth="1"/>
    <col min="9233" max="9268" width="0" hidden="1" customWidth="1"/>
    <col min="9270" max="9282" width="0" hidden="1" customWidth="1"/>
    <col min="9489" max="9524" width="0" hidden="1" customWidth="1"/>
    <col min="9526" max="9538" width="0" hidden="1" customWidth="1"/>
    <col min="9745" max="9780" width="0" hidden="1" customWidth="1"/>
    <col min="9782" max="9794" width="0" hidden="1" customWidth="1"/>
    <col min="10001" max="10036" width="0" hidden="1" customWidth="1"/>
    <col min="10038" max="10050" width="0" hidden="1" customWidth="1"/>
    <col min="10257" max="10292" width="0" hidden="1" customWidth="1"/>
    <col min="10294" max="10306" width="0" hidden="1" customWidth="1"/>
    <col min="10513" max="10548" width="0" hidden="1" customWidth="1"/>
    <col min="10550" max="10562" width="0" hidden="1" customWidth="1"/>
    <col min="10769" max="10804" width="0" hidden="1" customWidth="1"/>
    <col min="10806" max="10818" width="0" hidden="1" customWidth="1"/>
    <col min="11025" max="11060" width="0" hidden="1" customWidth="1"/>
    <col min="11062" max="11074" width="0" hidden="1" customWidth="1"/>
    <col min="11281" max="11316" width="0" hidden="1" customWidth="1"/>
    <col min="11318" max="11330" width="0" hidden="1" customWidth="1"/>
    <col min="11537" max="11572" width="0" hidden="1" customWidth="1"/>
    <col min="11574" max="11586" width="0" hidden="1" customWidth="1"/>
    <col min="11793" max="11828" width="0" hidden="1" customWidth="1"/>
    <col min="11830" max="11842" width="0" hidden="1" customWidth="1"/>
    <col min="12049" max="12084" width="0" hidden="1" customWidth="1"/>
    <col min="12086" max="12098" width="0" hidden="1" customWidth="1"/>
    <col min="12305" max="12340" width="0" hidden="1" customWidth="1"/>
    <col min="12342" max="12354" width="0" hidden="1" customWidth="1"/>
    <col min="12561" max="12596" width="0" hidden="1" customWidth="1"/>
    <col min="12598" max="12610" width="0" hidden="1" customWidth="1"/>
    <col min="12817" max="12852" width="0" hidden="1" customWidth="1"/>
    <col min="12854" max="12866" width="0" hidden="1" customWidth="1"/>
    <col min="13073" max="13108" width="0" hidden="1" customWidth="1"/>
    <col min="13110" max="13122" width="0" hidden="1" customWidth="1"/>
    <col min="13329" max="13364" width="0" hidden="1" customWidth="1"/>
    <col min="13366" max="13378" width="0" hidden="1" customWidth="1"/>
    <col min="13585" max="13620" width="0" hidden="1" customWidth="1"/>
    <col min="13622" max="13634" width="0" hidden="1" customWidth="1"/>
    <col min="13841" max="13876" width="0" hidden="1" customWidth="1"/>
    <col min="13878" max="13890" width="0" hidden="1" customWidth="1"/>
    <col min="14097" max="14132" width="0" hidden="1" customWidth="1"/>
    <col min="14134" max="14146" width="0" hidden="1" customWidth="1"/>
    <col min="14353" max="14388" width="0" hidden="1" customWidth="1"/>
    <col min="14390" max="14402" width="0" hidden="1" customWidth="1"/>
    <col min="14609" max="14644" width="0" hidden="1" customWidth="1"/>
    <col min="14646" max="14658" width="0" hidden="1" customWidth="1"/>
    <col min="14865" max="14900" width="0" hidden="1" customWidth="1"/>
    <col min="14902" max="14914" width="0" hidden="1" customWidth="1"/>
    <col min="15121" max="15156" width="0" hidden="1" customWidth="1"/>
    <col min="15158" max="15170" width="0" hidden="1" customWidth="1"/>
    <col min="15377" max="15412" width="0" hidden="1" customWidth="1"/>
    <col min="15414" max="15426" width="0" hidden="1" customWidth="1"/>
    <col min="15633" max="15668" width="0" hidden="1" customWidth="1"/>
    <col min="15670" max="15682" width="0" hidden="1" customWidth="1"/>
    <col min="15889" max="15924" width="0" hidden="1" customWidth="1"/>
    <col min="15926" max="15938" width="0" hidden="1" customWidth="1"/>
    <col min="16145" max="16180" width="0" hidden="1" customWidth="1"/>
    <col min="16182" max="16194" width="0" hidden="1" customWidth="1"/>
  </cols>
  <sheetData>
    <row r="1" spans="1:16384">
      <c r="A1" s="159">
        <f>COLUMN(A3)</f>
        <v>1</v>
      </c>
      <c r="C1">
        <f t="shared" ref="C1:BU1" si="0">COLUMN(C3)</f>
        <v>3</v>
      </c>
      <c r="D1">
        <f t="shared" si="0"/>
        <v>4</v>
      </c>
      <c r="E1" s="159">
        <f t="shared" si="0"/>
        <v>5</v>
      </c>
      <c r="F1" s="159">
        <f t="shared" si="0"/>
        <v>6</v>
      </c>
      <c r="G1" s="159">
        <f t="shared" si="0"/>
        <v>7</v>
      </c>
      <c r="H1" s="159">
        <f t="shared" si="0"/>
        <v>8</v>
      </c>
      <c r="I1" s="159">
        <f t="shared" ref="I1:K1" si="1">COLUMN(I3)</f>
        <v>9</v>
      </c>
      <c r="J1" s="159">
        <f t="shared" si="1"/>
        <v>10</v>
      </c>
      <c r="K1" s="159">
        <f t="shared" si="1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  <c r="AC1">
        <f t="shared" si="0"/>
        <v>29</v>
      </c>
      <c r="AD1">
        <f t="shared" si="0"/>
        <v>30</v>
      </c>
      <c r="AE1">
        <f t="shared" si="0"/>
        <v>31</v>
      </c>
      <c r="AF1">
        <f t="shared" si="0"/>
        <v>32</v>
      </c>
      <c r="AG1">
        <f t="shared" si="0"/>
        <v>33</v>
      </c>
      <c r="AH1">
        <f t="shared" si="0"/>
        <v>34</v>
      </c>
      <c r="AI1">
        <f t="shared" si="0"/>
        <v>35</v>
      </c>
      <c r="AJ1">
        <f t="shared" si="0"/>
        <v>36</v>
      </c>
      <c r="AK1">
        <f t="shared" si="0"/>
        <v>37</v>
      </c>
      <c r="AL1">
        <f t="shared" si="0"/>
        <v>38</v>
      </c>
      <c r="AM1">
        <f t="shared" si="0"/>
        <v>39</v>
      </c>
      <c r="AN1">
        <f t="shared" si="0"/>
        <v>40</v>
      </c>
      <c r="AO1">
        <f t="shared" si="0"/>
        <v>41</v>
      </c>
      <c r="AP1">
        <f t="shared" si="0"/>
        <v>42</v>
      </c>
      <c r="AQ1">
        <f t="shared" si="0"/>
        <v>43</v>
      </c>
      <c r="AR1">
        <f t="shared" si="0"/>
        <v>44</v>
      </c>
      <c r="AS1">
        <f t="shared" si="0"/>
        <v>45</v>
      </c>
      <c r="AT1">
        <f t="shared" si="0"/>
        <v>46</v>
      </c>
      <c r="AU1">
        <f t="shared" si="0"/>
        <v>47</v>
      </c>
      <c r="AV1">
        <f t="shared" si="0"/>
        <v>48</v>
      </c>
      <c r="AW1">
        <f t="shared" si="0"/>
        <v>49</v>
      </c>
      <c r="AX1">
        <f t="shared" si="0"/>
        <v>50</v>
      </c>
      <c r="AY1">
        <f t="shared" si="0"/>
        <v>51</v>
      </c>
      <c r="AZ1">
        <f t="shared" si="0"/>
        <v>52</v>
      </c>
      <c r="BA1">
        <f t="shared" si="0"/>
        <v>53</v>
      </c>
      <c r="BB1">
        <f t="shared" si="0"/>
        <v>54</v>
      </c>
      <c r="BC1">
        <f t="shared" si="0"/>
        <v>55</v>
      </c>
      <c r="BD1">
        <f t="shared" si="0"/>
        <v>56</v>
      </c>
      <c r="BE1">
        <f t="shared" si="0"/>
        <v>57</v>
      </c>
      <c r="BF1">
        <f t="shared" si="0"/>
        <v>58</v>
      </c>
      <c r="BG1">
        <f t="shared" si="0"/>
        <v>59</v>
      </c>
      <c r="BH1">
        <f t="shared" si="0"/>
        <v>60</v>
      </c>
      <c r="BI1">
        <f t="shared" si="0"/>
        <v>61</v>
      </c>
      <c r="BJ1">
        <f t="shared" si="0"/>
        <v>62</v>
      </c>
      <c r="BK1">
        <f t="shared" si="0"/>
        <v>63</v>
      </c>
      <c r="BL1">
        <f t="shared" si="0"/>
        <v>64</v>
      </c>
      <c r="BM1">
        <f t="shared" si="0"/>
        <v>65</v>
      </c>
      <c r="BN1">
        <f t="shared" si="0"/>
        <v>66</v>
      </c>
      <c r="BO1">
        <f t="shared" si="0"/>
        <v>67</v>
      </c>
      <c r="BP1">
        <f t="shared" si="0"/>
        <v>68</v>
      </c>
      <c r="BQ1">
        <f t="shared" si="0"/>
        <v>69</v>
      </c>
      <c r="BR1">
        <f t="shared" si="0"/>
        <v>70</v>
      </c>
      <c r="BS1">
        <f t="shared" si="0"/>
        <v>71</v>
      </c>
      <c r="BT1">
        <f t="shared" si="0"/>
        <v>72</v>
      </c>
      <c r="BU1">
        <f t="shared" si="0"/>
        <v>73</v>
      </c>
      <c r="BV1" s="160">
        <f>COLUMN(BV3)</f>
        <v>74</v>
      </c>
      <c r="BW1" s="160">
        <f>COLUMN(BW3)</f>
        <v>75</v>
      </c>
      <c r="BZ1" s="159"/>
      <c r="CA1" s="159"/>
      <c r="CB1" s="159"/>
      <c r="CC1" s="159"/>
      <c r="CD1" s="159"/>
      <c r="CE1" s="159"/>
      <c r="CF1" s="159"/>
      <c r="CG1" s="159"/>
      <c r="CH1" s="159"/>
      <c r="CI1" s="159"/>
      <c r="CJ1" s="159"/>
      <c r="CK1" s="159"/>
      <c r="CL1" s="159"/>
      <c r="CM1" s="159"/>
      <c r="CN1" s="159"/>
      <c r="CO1" s="159"/>
      <c r="CP1" s="159"/>
      <c r="CQ1" s="159"/>
      <c r="CR1" s="159"/>
      <c r="CS1" s="159"/>
      <c r="CT1" s="159"/>
      <c r="CU1" s="159"/>
      <c r="CV1" s="159"/>
      <c r="CW1" s="159"/>
      <c r="CX1" s="159"/>
      <c r="CY1" s="159"/>
      <c r="CZ1" s="159"/>
      <c r="DA1" s="159"/>
      <c r="DB1" s="159"/>
      <c r="DC1" s="159"/>
      <c r="DD1" s="159"/>
      <c r="DE1" s="159"/>
      <c r="DF1" s="159"/>
      <c r="DG1" s="159"/>
      <c r="DH1" s="159"/>
      <c r="DI1" s="159"/>
      <c r="DJ1" s="159"/>
      <c r="DK1" s="159"/>
      <c r="DL1" s="159"/>
      <c r="DM1" s="159"/>
      <c r="DN1" s="159"/>
      <c r="DO1" s="159"/>
      <c r="DP1" s="159"/>
      <c r="DQ1" s="159"/>
      <c r="DR1" s="159"/>
      <c r="DS1" s="159"/>
      <c r="DT1" s="159"/>
      <c r="DU1" s="159"/>
      <c r="DV1" s="159"/>
      <c r="DW1" s="159"/>
      <c r="DX1" s="159"/>
      <c r="DY1" s="159"/>
      <c r="DZ1" s="159"/>
      <c r="EA1" s="159"/>
      <c r="EB1" s="159"/>
      <c r="EC1" s="159"/>
      <c r="ED1" s="159"/>
      <c r="EE1" s="159"/>
      <c r="EF1" s="159"/>
      <c r="EG1" s="159"/>
      <c r="EH1" s="159"/>
      <c r="EI1" s="159"/>
      <c r="EJ1" s="159"/>
      <c r="EK1" s="159"/>
      <c r="EL1" s="159"/>
      <c r="EM1" s="159"/>
      <c r="EN1" s="159"/>
      <c r="EO1" s="159"/>
      <c r="EP1" s="159"/>
      <c r="EQ1" s="159"/>
      <c r="ER1" s="159"/>
      <c r="ES1" s="159"/>
      <c r="ET1" s="159"/>
      <c r="EU1" s="159"/>
      <c r="EV1" s="159"/>
      <c r="EW1" s="159"/>
      <c r="EX1" s="159"/>
      <c r="EY1" s="159"/>
      <c r="EZ1" s="159"/>
      <c r="FA1" s="159"/>
      <c r="FB1" s="159"/>
      <c r="FC1" s="159"/>
      <c r="FD1" s="159"/>
      <c r="FE1" s="159"/>
      <c r="FF1" s="159"/>
      <c r="FG1" s="159"/>
      <c r="FH1" s="159"/>
      <c r="FI1" s="159"/>
      <c r="FJ1" s="159"/>
      <c r="FK1" s="159"/>
      <c r="FL1" s="159"/>
      <c r="FM1" s="159"/>
      <c r="FN1" s="159"/>
      <c r="FO1" s="159"/>
      <c r="FP1" s="159"/>
      <c r="FQ1" s="159"/>
      <c r="FR1" s="159"/>
      <c r="FS1" s="159"/>
      <c r="FT1" s="159"/>
      <c r="FU1" s="159"/>
      <c r="FV1" s="159"/>
      <c r="FW1" s="159"/>
      <c r="FX1" s="159"/>
      <c r="FY1" s="159"/>
      <c r="FZ1" s="159"/>
      <c r="GA1" s="159"/>
      <c r="GB1" s="159"/>
      <c r="GC1" s="159"/>
      <c r="GD1" s="159"/>
      <c r="GE1" s="159"/>
      <c r="GF1" s="159"/>
      <c r="GG1" s="159"/>
      <c r="GH1" s="159"/>
      <c r="GI1" s="159"/>
      <c r="GJ1" s="159"/>
      <c r="GK1" s="159"/>
      <c r="GL1" s="159"/>
      <c r="GM1" s="159"/>
      <c r="GN1" s="159"/>
      <c r="GO1" s="159"/>
      <c r="GP1" s="159"/>
      <c r="GQ1" s="159"/>
      <c r="GR1" s="159"/>
      <c r="GS1" s="159"/>
      <c r="GT1" s="159"/>
      <c r="GU1" s="159"/>
      <c r="GV1" s="159"/>
      <c r="GW1" s="159"/>
      <c r="GX1" s="159"/>
      <c r="GY1" s="159"/>
      <c r="GZ1" s="159"/>
      <c r="HA1" s="159"/>
      <c r="HB1" s="159"/>
      <c r="HC1" s="159"/>
      <c r="HD1" s="159"/>
      <c r="HE1" s="159"/>
      <c r="HF1" s="159"/>
      <c r="HG1" s="159"/>
      <c r="HH1" s="159"/>
      <c r="HI1" s="159"/>
      <c r="HJ1" s="159"/>
      <c r="HK1" s="159"/>
      <c r="HL1" s="159"/>
      <c r="HM1" s="159"/>
      <c r="HN1" s="159"/>
      <c r="HO1" s="159"/>
      <c r="HP1" s="159"/>
      <c r="HQ1" s="159"/>
      <c r="HR1" s="159"/>
      <c r="HS1" s="159"/>
      <c r="HT1" s="159"/>
      <c r="HU1" s="159"/>
      <c r="HV1" s="159"/>
      <c r="HW1" s="159"/>
      <c r="HX1" s="159"/>
      <c r="HY1" s="159"/>
      <c r="HZ1" s="159"/>
      <c r="IA1" s="159"/>
      <c r="IB1" s="159"/>
      <c r="IC1" s="159"/>
      <c r="ID1" s="159"/>
      <c r="IE1" s="159"/>
      <c r="IF1" s="159"/>
      <c r="IG1" s="159"/>
      <c r="IH1" s="159"/>
      <c r="II1" s="159"/>
      <c r="IJ1" s="159"/>
      <c r="IK1" s="159"/>
      <c r="IL1" s="159"/>
      <c r="IM1" s="159"/>
      <c r="IN1" s="159"/>
      <c r="IO1" s="159"/>
      <c r="IP1" s="159"/>
      <c r="IQ1" s="159"/>
      <c r="IR1" s="159"/>
      <c r="IS1" s="159"/>
      <c r="IT1" s="159"/>
      <c r="IU1" s="159"/>
      <c r="IV1" s="159"/>
      <c r="IW1" s="159"/>
      <c r="IX1" s="159"/>
      <c r="IY1" s="159"/>
      <c r="IZ1" s="159"/>
      <c r="JA1" s="159"/>
      <c r="JB1" s="159"/>
      <c r="JC1" s="159"/>
      <c r="JD1" s="159"/>
      <c r="JE1" s="159"/>
      <c r="JF1" s="159"/>
      <c r="JG1" s="159"/>
      <c r="JH1" s="159"/>
      <c r="JI1" s="159"/>
      <c r="JJ1" s="159"/>
      <c r="JK1" s="159"/>
      <c r="JL1" s="159"/>
      <c r="KW1" s="159"/>
      <c r="LK1" s="159"/>
      <c r="LL1" s="159"/>
      <c r="LM1" s="159"/>
      <c r="LN1" s="159"/>
      <c r="LO1" s="159"/>
      <c r="LP1" s="159"/>
      <c r="LQ1" s="159"/>
      <c r="LR1" s="159"/>
      <c r="LS1" s="159"/>
      <c r="LT1" s="159"/>
      <c r="LU1" s="159"/>
      <c r="LV1" s="159"/>
      <c r="LW1" s="159"/>
      <c r="LX1" s="159"/>
      <c r="LY1" s="159"/>
      <c r="LZ1" s="159"/>
      <c r="MA1" s="159"/>
      <c r="MB1" s="159"/>
      <c r="MC1" s="159"/>
      <c r="MD1" s="159"/>
      <c r="ME1" s="159"/>
      <c r="MF1" s="159"/>
      <c r="MG1" s="159"/>
      <c r="MH1" s="159"/>
      <c r="MI1" s="159"/>
      <c r="MJ1" s="159"/>
      <c r="MK1" s="159"/>
      <c r="ML1" s="159"/>
      <c r="MM1" s="159"/>
      <c r="MN1" s="159"/>
      <c r="MO1" s="159"/>
      <c r="MP1" s="159"/>
      <c r="MQ1" s="159"/>
      <c r="MR1" s="159"/>
      <c r="MS1" s="159"/>
      <c r="MT1" s="159"/>
      <c r="MU1" s="159"/>
      <c r="MV1" s="159"/>
      <c r="MW1" s="159"/>
      <c r="MX1" s="159"/>
      <c r="MY1" s="159"/>
      <c r="MZ1" s="159"/>
      <c r="NA1" s="159"/>
      <c r="NB1" s="159"/>
      <c r="NC1" s="159"/>
      <c r="ND1" s="159"/>
      <c r="NE1" s="159"/>
      <c r="NF1" s="159"/>
      <c r="NG1" s="159"/>
      <c r="NH1" s="159"/>
      <c r="NI1" s="159"/>
      <c r="NJ1" s="159"/>
      <c r="NK1" s="159"/>
      <c r="NL1" s="159"/>
      <c r="NM1" s="159"/>
      <c r="NN1" s="159"/>
      <c r="NO1" s="159"/>
      <c r="NP1" s="159"/>
      <c r="NQ1" s="159"/>
      <c r="NR1" s="159"/>
      <c r="NS1" s="159"/>
      <c r="NT1" s="159"/>
      <c r="NU1" s="159"/>
      <c r="NV1" s="159"/>
      <c r="NW1" s="159"/>
      <c r="NX1" s="159"/>
      <c r="NY1" s="159"/>
      <c r="NZ1" s="159"/>
      <c r="OA1" s="159"/>
      <c r="OB1" s="159"/>
      <c r="OC1" s="159"/>
      <c r="OD1" s="159"/>
      <c r="OE1" s="159"/>
      <c r="OF1" s="159"/>
      <c r="OG1" s="159"/>
      <c r="OH1" s="159"/>
      <c r="OI1" s="159"/>
      <c r="OJ1" s="159"/>
      <c r="OK1" s="159"/>
      <c r="OL1" s="159"/>
      <c r="OM1" s="159"/>
      <c r="ON1" s="159"/>
      <c r="OO1" s="159"/>
      <c r="OP1" s="159"/>
      <c r="OQ1" s="159"/>
      <c r="OR1" s="159"/>
      <c r="OS1" s="159"/>
      <c r="OT1" s="159"/>
      <c r="OU1" s="159"/>
      <c r="OV1" s="159"/>
      <c r="OW1" s="159"/>
      <c r="OX1" s="159"/>
      <c r="OY1" s="159"/>
      <c r="OZ1" s="159"/>
      <c r="PA1" s="159"/>
      <c r="PB1" s="159"/>
      <c r="PC1" s="159"/>
      <c r="PD1" s="159"/>
      <c r="PE1" s="159"/>
      <c r="PF1" s="159"/>
      <c r="PG1" s="159"/>
      <c r="PH1" s="159"/>
      <c r="PI1" s="159"/>
      <c r="PJ1" s="159"/>
      <c r="PK1" s="159"/>
      <c r="PL1" s="159"/>
      <c r="PM1" s="159"/>
      <c r="PN1" s="159"/>
      <c r="PO1" s="159"/>
      <c r="PP1" s="159"/>
      <c r="PQ1" s="159"/>
      <c r="PR1" s="159"/>
      <c r="PS1" s="159"/>
      <c r="PT1" s="159"/>
      <c r="PU1" s="159"/>
      <c r="PV1" s="159"/>
      <c r="PW1" s="159"/>
      <c r="PX1" s="159"/>
      <c r="PY1" s="159"/>
      <c r="PZ1" s="159"/>
      <c r="QA1" s="159"/>
      <c r="QB1" s="159"/>
      <c r="QC1" s="159"/>
      <c r="QD1" s="159"/>
      <c r="QE1" s="159"/>
      <c r="QF1" s="159"/>
      <c r="QG1" s="159"/>
      <c r="QH1" s="159"/>
      <c r="QI1" s="159"/>
      <c r="QJ1" s="159"/>
      <c r="QK1" s="159"/>
      <c r="QL1" s="159"/>
      <c r="QM1" s="159"/>
      <c r="QN1" s="159"/>
      <c r="QO1" s="159"/>
      <c r="QP1" s="159"/>
      <c r="QQ1" s="159"/>
      <c r="QR1" s="159"/>
      <c r="QS1" s="159"/>
      <c r="QT1" s="159"/>
      <c r="QU1" s="159"/>
      <c r="QV1" s="159"/>
      <c r="QW1" s="159"/>
      <c r="QX1" s="159"/>
      <c r="QY1" s="159"/>
      <c r="QZ1" s="159"/>
      <c r="RA1" s="159"/>
      <c r="RB1" s="159"/>
      <c r="RC1" s="159"/>
      <c r="RD1" s="159"/>
      <c r="RE1" s="159"/>
      <c r="RF1" s="159"/>
      <c r="RG1" s="159"/>
      <c r="RH1" s="159"/>
      <c r="RI1" s="159"/>
      <c r="RJ1" s="159"/>
      <c r="RK1" s="159"/>
      <c r="RL1" s="159"/>
      <c r="RM1" s="159"/>
      <c r="RN1" s="159"/>
      <c r="RO1" s="159"/>
      <c r="RP1" s="159"/>
      <c r="RQ1" s="159"/>
      <c r="RR1" s="159"/>
      <c r="RS1" s="159"/>
      <c r="RT1" s="159"/>
      <c r="RU1" s="159"/>
      <c r="RV1" s="159"/>
      <c r="RW1" s="159"/>
      <c r="RX1" s="159"/>
      <c r="RY1" s="159"/>
      <c r="RZ1" s="159"/>
      <c r="SA1" s="159"/>
      <c r="SB1" s="159"/>
      <c r="SC1" s="159"/>
      <c r="SD1" s="159"/>
      <c r="SE1" s="159"/>
      <c r="SF1" s="159"/>
      <c r="SG1" s="159"/>
      <c r="SH1" s="159"/>
      <c r="SI1" s="159"/>
      <c r="SJ1" s="159"/>
      <c r="SK1" s="159"/>
      <c r="SL1" s="159"/>
      <c r="SM1" s="159"/>
      <c r="SN1" s="159"/>
      <c r="SO1" s="159"/>
      <c r="SP1" s="159"/>
      <c r="SQ1" s="159"/>
      <c r="SR1" s="159"/>
      <c r="SS1" s="159"/>
      <c r="ST1" s="159"/>
      <c r="SU1" s="159"/>
      <c r="SV1" s="159"/>
      <c r="SW1" s="159"/>
      <c r="SX1" s="159"/>
      <c r="SY1" s="159"/>
      <c r="SZ1" s="159"/>
      <c r="TA1" s="159"/>
      <c r="TB1" s="159"/>
      <c r="TC1" s="159"/>
      <c r="TD1" s="159"/>
      <c r="TE1" s="159"/>
      <c r="TF1" s="159"/>
      <c r="TG1" s="159"/>
      <c r="TH1" s="159"/>
      <c r="US1" s="159"/>
      <c r="VG1" s="159"/>
      <c r="VH1" s="159"/>
      <c r="VI1" s="159"/>
      <c r="VJ1" s="159"/>
      <c r="VK1" s="159"/>
      <c r="VL1" s="159"/>
      <c r="VM1" s="159"/>
      <c r="VN1" s="159"/>
      <c r="VO1" s="159"/>
      <c r="VP1" s="159"/>
      <c r="VQ1" s="159"/>
      <c r="VR1" s="159"/>
      <c r="VS1" s="159"/>
      <c r="VT1" s="159"/>
      <c r="VU1" s="159"/>
      <c r="VV1" s="159"/>
      <c r="VW1" s="159"/>
      <c r="VX1" s="159"/>
      <c r="VY1" s="159"/>
      <c r="VZ1" s="159"/>
      <c r="WA1" s="159"/>
      <c r="WB1" s="159"/>
      <c r="WC1" s="159"/>
      <c r="WD1" s="159"/>
      <c r="WE1" s="159"/>
      <c r="WF1" s="159"/>
      <c r="WG1" s="159"/>
      <c r="WH1" s="159"/>
      <c r="WI1" s="159"/>
      <c r="WJ1" s="159"/>
      <c r="WK1" s="159"/>
      <c r="WL1" s="159"/>
      <c r="WM1" s="159"/>
      <c r="WN1" s="159"/>
      <c r="WO1" s="159"/>
      <c r="WP1" s="159"/>
      <c r="WQ1" s="159"/>
      <c r="WR1" s="159"/>
      <c r="WS1" s="159"/>
      <c r="WT1" s="159"/>
      <c r="WU1" s="159"/>
      <c r="WV1" s="159"/>
      <c r="WW1" s="159"/>
      <c r="WX1" s="159"/>
      <c r="WY1" s="159"/>
      <c r="WZ1" s="159"/>
      <c r="XA1" s="159"/>
      <c r="XB1" s="159"/>
      <c r="XC1" s="159"/>
      <c r="XD1" s="159"/>
      <c r="XE1" s="159"/>
      <c r="XF1" s="159"/>
      <c r="XG1" s="159"/>
      <c r="XH1" s="159"/>
      <c r="XI1" s="159"/>
      <c r="XJ1" s="159"/>
      <c r="XK1" s="159"/>
      <c r="XL1" s="159"/>
      <c r="XM1" s="159"/>
      <c r="XN1" s="159"/>
      <c r="XO1" s="159"/>
      <c r="XP1" s="159"/>
      <c r="XQ1" s="159"/>
      <c r="XR1" s="159"/>
      <c r="XS1" s="159"/>
      <c r="XT1" s="159"/>
      <c r="XU1" s="159"/>
      <c r="XV1" s="159"/>
      <c r="XW1" s="159"/>
      <c r="XX1" s="159"/>
      <c r="XY1" s="159"/>
      <c r="XZ1" s="159"/>
      <c r="YA1" s="159"/>
      <c r="YB1" s="159"/>
      <c r="YC1" s="159"/>
      <c r="YD1" s="159"/>
      <c r="YE1" s="159"/>
      <c r="YF1" s="159"/>
      <c r="YG1" s="159"/>
      <c r="YH1" s="159"/>
      <c r="YI1" s="159"/>
      <c r="YJ1" s="159"/>
      <c r="YK1" s="159"/>
      <c r="YL1" s="159"/>
      <c r="YM1" s="159"/>
      <c r="YN1" s="159"/>
      <c r="YO1" s="159"/>
      <c r="YP1" s="159"/>
      <c r="YQ1" s="159"/>
      <c r="YR1" s="159"/>
      <c r="YS1" s="159"/>
      <c r="YT1" s="159"/>
      <c r="YU1" s="159"/>
      <c r="YV1" s="159"/>
      <c r="YW1" s="159"/>
      <c r="YX1" s="159"/>
      <c r="YY1" s="159"/>
      <c r="YZ1" s="159"/>
      <c r="ZA1" s="159"/>
      <c r="ZB1" s="159"/>
      <c r="ZC1" s="159"/>
      <c r="ZD1" s="159"/>
      <c r="ZE1" s="159"/>
      <c r="ZF1" s="159"/>
      <c r="ZG1" s="159"/>
      <c r="ZH1" s="159"/>
      <c r="ZI1" s="159"/>
      <c r="ZJ1" s="159"/>
      <c r="ZK1" s="159"/>
      <c r="ZL1" s="159"/>
      <c r="ZM1" s="159"/>
      <c r="ZN1" s="159"/>
      <c r="ZO1" s="159"/>
      <c r="ZP1" s="159"/>
      <c r="ZQ1" s="159"/>
      <c r="ZR1" s="159"/>
      <c r="ZS1" s="159"/>
      <c r="ZT1" s="159"/>
      <c r="ZU1" s="159"/>
      <c r="ZV1" s="159"/>
      <c r="ZW1" s="159"/>
      <c r="ZX1" s="159"/>
      <c r="ZY1" s="159"/>
      <c r="ZZ1" s="159"/>
      <c r="AAA1" s="159"/>
      <c r="AAB1" s="159"/>
      <c r="AAC1" s="159"/>
      <c r="AAD1" s="159"/>
      <c r="AAE1" s="159"/>
      <c r="AAF1" s="159"/>
      <c r="AAG1" s="159"/>
      <c r="AAH1" s="159"/>
      <c r="AAI1" s="159"/>
      <c r="AAJ1" s="159"/>
      <c r="AAK1" s="159"/>
      <c r="AAL1" s="159"/>
      <c r="AAM1" s="159"/>
      <c r="AAN1" s="159"/>
      <c r="AAO1" s="159"/>
      <c r="AAP1" s="159"/>
      <c r="AAQ1" s="159"/>
      <c r="AAR1" s="159"/>
      <c r="AAS1" s="159"/>
      <c r="AAT1" s="159"/>
      <c r="AAU1" s="159"/>
      <c r="AAV1" s="159"/>
      <c r="AAW1" s="159"/>
      <c r="AAX1" s="159"/>
      <c r="AAY1" s="159"/>
      <c r="AAZ1" s="159"/>
      <c r="ABA1" s="159"/>
      <c r="ABB1" s="159"/>
      <c r="ABC1" s="159"/>
      <c r="ABD1" s="159"/>
      <c r="ABE1" s="159"/>
      <c r="ABF1" s="159"/>
      <c r="ABG1" s="159"/>
      <c r="ABH1" s="159"/>
      <c r="ABI1" s="159"/>
      <c r="ABJ1" s="159"/>
      <c r="ABK1" s="159"/>
      <c r="ABL1" s="159"/>
      <c r="ABM1" s="159"/>
      <c r="ABN1" s="159"/>
      <c r="ABO1" s="159"/>
      <c r="ABP1" s="159"/>
      <c r="ABQ1" s="159"/>
      <c r="ABR1" s="159"/>
      <c r="ABS1" s="159"/>
      <c r="ABT1" s="159"/>
      <c r="ABU1" s="159"/>
      <c r="ABV1" s="159"/>
      <c r="ABW1" s="159"/>
      <c r="ABX1" s="159"/>
      <c r="ABY1" s="159"/>
      <c r="ABZ1" s="159"/>
      <c r="ACA1" s="159"/>
      <c r="ACB1" s="159"/>
      <c r="ACC1" s="159"/>
      <c r="ACD1" s="159"/>
      <c r="ACE1" s="159"/>
      <c r="ACF1" s="159"/>
      <c r="ACG1" s="159"/>
      <c r="ACH1" s="159"/>
      <c r="ACI1" s="159"/>
      <c r="ACJ1" s="159"/>
      <c r="ACK1" s="159"/>
      <c r="ACL1" s="159"/>
      <c r="ACM1" s="159"/>
      <c r="ACN1" s="159"/>
      <c r="ACO1" s="159"/>
      <c r="ACP1" s="159"/>
      <c r="ACQ1" s="159"/>
      <c r="ACR1" s="159"/>
      <c r="ACS1" s="159"/>
      <c r="ACT1" s="159"/>
      <c r="ACU1" s="159"/>
      <c r="ACV1" s="159"/>
      <c r="ACW1" s="159"/>
      <c r="ACX1" s="159"/>
      <c r="ACY1" s="159"/>
      <c r="ACZ1" s="159"/>
      <c r="ADA1" s="159"/>
      <c r="ADB1" s="159"/>
      <c r="ADC1" s="159"/>
      <c r="ADD1" s="159"/>
      <c r="AEO1" s="159"/>
      <c r="AFC1" s="159"/>
      <c r="AFD1" s="159"/>
      <c r="AFE1" s="159"/>
      <c r="AFF1" s="159"/>
      <c r="AFG1" s="159"/>
      <c r="AFH1" s="159"/>
      <c r="AFI1" s="159"/>
      <c r="AFJ1" s="159"/>
      <c r="AFK1" s="159"/>
      <c r="AFL1" s="159"/>
      <c r="AFM1" s="159"/>
      <c r="AFN1" s="159"/>
      <c r="AFO1" s="159"/>
      <c r="AFP1" s="159"/>
      <c r="AFQ1" s="159"/>
      <c r="AFR1" s="159"/>
      <c r="AFS1" s="159"/>
      <c r="AFT1" s="159"/>
      <c r="AFU1" s="159"/>
      <c r="AFV1" s="159"/>
      <c r="AFW1" s="159"/>
      <c r="AFX1" s="159"/>
      <c r="AFY1" s="159"/>
      <c r="AFZ1" s="159"/>
      <c r="AGA1" s="159"/>
      <c r="AGB1" s="159"/>
      <c r="AGC1" s="159"/>
      <c r="AGD1" s="159"/>
      <c r="AGE1" s="159"/>
      <c r="AGF1" s="159"/>
      <c r="AGG1" s="159"/>
      <c r="AGH1" s="159"/>
      <c r="AGI1" s="159"/>
      <c r="AGJ1" s="159"/>
      <c r="AGK1" s="159"/>
      <c r="AGL1" s="159"/>
      <c r="AGM1" s="159"/>
      <c r="AGN1" s="159"/>
      <c r="AGO1" s="159"/>
      <c r="AGP1" s="159"/>
      <c r="AGQ1" s="159"/>
      <c r="AGR1" s="159"/>
      <c r="AGS1" s="159"/>
      <c r="AGT1" s="159"/>
      <c r="AGU1" s="159"/>
      <c r="AGV1" s="159"/>
      <c r="AGW1" s="159"/>
      <c r="AGX1" s="159"/>
      <c r="AGY1" s="159"/>
      <c r="AGZ1" s="159"/>
      <c r="AHA1" s="159"/>
      <c r="AHB1" s="159"/>
      <c r="AHC1" s="159"/>
      <c r="AHD1" s="159"/>
      <c r="AHE1" s="159"/>
      <c r="AHF1" s="159"/>
      <c r="AHG1" s="159"/>
      <c r="AHH1" s="159"/>
      <c r="AHI1" s="159"/>
      <c r="AHJ1" s="159"/>
      <c r="AHK1" s="159"/>
      <c r="AHL1" s="159"/>
      <c r="AHM1" s="159"/>
      <c r="AHN1" s="159"/>
      <c r="AHO1" s="159"/>
      <c r="AHP1" s="159"/>
      <c r="AHQ1" s="159"/>
      <c r="AHR1" s="159"/>
      <c r="AHS1" s="159"/>
      <c r="AHT1" s="159"/>
      <c r="AHU1" s="159"/>
      <c r="AHV1" s="159"/>
      <c r="AHW1" s="159"/>
      <c r="AHX1" s="159"/>
      <c r="AHY1" s="159"/>
      <c r="AHZ1" s="159"/>
      <c r="AIA1" s="159"/>
      <c r="AIB1" s="159"/>
      <c r="AIC1" s="159"/>
      <c r="AID1" s="159"/>
      <c r="AIE1" s="159"/>
      <c r="AIF1" s="159"/>
      <c r="AIG1" s="159"/>
      <c r="AIH1" s="159"/>
      <c r="AII1" s="159"/>
      <c r="AIJ1" s="159"/>
      <c r="AIK1" s="159"/>
      <c r="AIL1" s="159"/>
      <c r="AIM1" s="159"/>
      <c r="AIN1" s="159"/>
      <c r="AIO1" s="159"/>
      <c r="AIP1" s="159"/>
      <c r="AIQ1" s="159"/>
      <c r="AIR1" s="159"/>
      <c r="AIS1" s="159"/>
      <c r="AIT1" s="159"/>
      <c r="AIU1" s="159"/>
      <c r="AIV1" s="159"/>
      <c r="AIW1" s="159"/>
      <c r="AIX1" s="159"/>
      <c r="AIY1" s="159"/>
      <c r="AIZ1" s="159"/>
      <c r="AJA1" s="159"/>
      <c r="AJB1" s="159"/>
      <c r="AJC1" s="159"/>
      <c r="AJD1" s="159"/>
      <c r="AJE1" s="159"/>
      <c r="AJF1" s="159"/>
      <c r="AJG1" s="159"/>
      <c r="AJH1" s="159"/>
      <c r="AJI1" s="159"/>
      <c r="AJJ1" s="159"/>
      <c r="AJK1" s="159"/>
      <c r="AJL1" s="159"/>
      <c r="AJM1" s="159"/>
      <c r="AJN1" s="159"/>
      <c r="AJO1" s="159"/>
      <c r="AJP1" s="159"/>
      <c r="AJQ1" s="159"/>
      <c r="AJR1" s="159"/>
      <c r="AJS1" s="159"/>
      <c r="AJT1" s="159"/>
      <c r="AJU1" s="159"/>
      <c r="AJV1" s="159"/>
      <c r="AJW1" s="159"/>
      <c r="AJX1" s="159"/>
      <c r="AJY1" s="159"/>
      <c r="AJZ1" s="159"/>
      <c r="AKA1" s="159"/>
      <c r="AKB1" s="159"/>
      <c r="AKC1" s="159"/>
      <c r="AKD1" s="159"/>
      <c r="AKE1" s="159"/>
      <c r="AKF1" s="159"/>
      <c r="AKG1" s="159"/>
      <c r="AKH1" s="159"/>
      <c r="AKI1" s="159"/>
      <c r="AKJ1" s="159"/>
      <c r="AKK1" s="159"/>
      <c r="AKL1" s="159"/>
      <c r="AKM1" s="159"/>
      <c r="AKN1" s="159"/>
      <c r="AKO1" s="159"/>
      <c r="AKP1" s="159"/>
      <c r="AKQ1" s="159"/>
      <c r="AKR1" s="159"/>
      <c r="AKS1" s="159"/>
      <c r="AKT1" s="159"/>
      <c r="AKU1" s="159"/>
      <c r="AKV1" s="159"/>
      <c r="AKW1" s="159"/>
      <c r="AKX1" s="159"/>
      <c r="AKY1" s="159"/>
      <c r="AKZ1" s="159"/>
      <c r="ALA1" s="159"/>
      <c r="ALB1" s="159"/>
      <c r="ALC1" s="159"/>
      <c r="ALD1" s="159"/>
      <c r="ALE1" s="159"/>
      <c r="ALF1" s="159"/>
      <c r="ALG1" s="159"/>
      <c r="ALH1" s="159"/>
      <c r="ALI1" s="159"/>
      <c r="ALJ1" s="159"/>
      <c r="ALK1" s="159"/>
      <c r="ALL1" s="159"/>
      <c r="ALM1" s="159"/>
      <c r="ALN1" s="159"/>
      <c r="ALO1" s="159"/>
      <c r="ALP1" s="159"/>
      <c r="ALQ1" s="159"/>
      <c r="ALR1" s="159"/>
      <c r="ALS1" s="159"/>
      <c r="ALT1" s="159"/>
      <c r="ALU1" s="159"/>
      <c r="ALV1" s="159"/>
      <c r="ALW1" s="159"/>
      <c r="ALX1" s="159"/>
      <c r="ALY1" s="159"/>
      <c r="ALZ1" s="159"/>
      <c r="AMA1" s="159"/>
      <c r="AMB1" s="159"/>
      <c r="AMC1" s="159"/>
      <c r="AMD1" s="159"/>
      <c r="AME1" s="159"/>
      <c r="AMF1" s="159"/>
      <c r="AMG1" s="159"/>
      <c r="AMH1" s="159"/>
      <c r="AMI1" s="159"/>
      <c r="AMJ1" s="159"/>
      <c r="AMK1" s="159"/>
      <c r="AML1" s="159"/>
      <c r="AMM1" s="159"/>
      <c r="AMN1" s="159"/>
      <c r="AMO1" s="159"/>
      <c r="AMP1" s="159"/>
      <c r="AMQ1" s="159"/>
      <c r="AMR1" s="159"/>
      <c r="AMS1" s="159"/>
      <c r="AMT1" s="159"/>
      <c r="AMU1" s="159"/>
      <c r="AMV1" s="159"/>
      <c r="AMW1" s="159"/>
      <c r="AMX1" s="159"/>
      <c r="AMY1" s="159"/>
      <c r="AMZ1" s="159"/>
      <c r="AOK1" s="159"/>
      <c r="AOY1" s="159"/>
      <c r="AOZ1" s="159"/>
      <c r="APA1" s="159"/>
      <c r="APB1" s="159"/>
      <c r="APC1" s="159"/>
      <c r="APD1" s="159"/>
      <c r="APE1" s="159"/>
      <c r="APF1" s="159"/>
      <c r="APG1" s="159"/>
      <c r="APH1" s="159"/>
      <c r="API1" s="159"/>
      <c r="APJ1" s="159"/>
      <c r="APK1" s="159"/>
      <c r="APL1" s="159"/>
      <c r="APM1" s="159"/>
      <c r="APN1" s="159"/>
      <c r="APO1" s="159"/>
      <c r="APP1" s="159"/>
      <c r="APQ1" s="159"/>
      <c r="APR1" s="159"/>
      <c r="APS1" s="159"/>
      <c r="APT1" s="159"/>
      <c r="APU1" s="159"/>
      <c r="APV1" s="159"/>
      <c r="APW1" s="159"/>
      <c r="APX1" s="159"/>
      <c r="APY1" s="159"/>
      <c r="APZ1" s="159"/>
      <c r="AQA1" s="159"/>
      <c r="AQB1" s="159"/>
      <c r="AQC1" s="159"/>
      <c r="AQD1" s="159"/>
      <c r="AQE1" s="159"/>
      <c r="AQF1" s="159"/>
      <c r="AQG1" s="159"/>
      <c r="AQH1" s="159"/>
      <c r="AQI1" s="159"/>
      <c r="AQJ1" s="159"/>
      <c r="AQK1" s="159"/>
      <c r="AQL1" s="159"/>
      <c r="AQM1" s="159"/>
      <c r="AQN1" s="159"/>
      <c r="AQO1" s="159"/>
      <c r="AQP1" s="159"/>
      <c r="AQQ1" s="159"/>
      <c r="AQR1" s="159"/>
      <c r="AQS1" s="159"/>
      <c r="AQT1" s="159"/>
      <c r="AQU1" s="159"/>
      <c r="AQV1" s="159"/>
      <c r="AQW1" s="159"/>
      <c r="AQX1" s="159"/>
      <c r="AQY1" s="159"/>
      <c r="AQZ1" s="159"/>
      <c r="ARA1" s="159"/>
      <c r="ARB1" s="159"/>
      <c r="ARC1" s="159"/>
      <c r="ARD1" s="159"/>
      <c r="ARE1" s="159"/>
      <c r="ARF1" s="159"/>
      <c r="ARG1" s="159"/>
      <c r="ARH1" s="159"/>
      <c r="ARI1" s="159"/>
      <c r="ARJ1" s="159"/>
      <c r="ARK1" s="159"/>
      <c r="ARL1" s="159"/>
      <c r="ARM1" s="159"/>
      <c r="ARN1" s="159"/>
      <c r="ARO1" s="159"/>
      <c r="ARP1" s="159"/>
      <c r="ARQ1" s="159"/>
      <c r="ARR1" s="159"/>
      <c r="ARS1" s="159"/>
      <c r="ART1" s="159"/>
      <c r="ARU1" s="159"/>
      <c r="ARV1" s="159"/>
      <c r="ARW1" s="159"/>
      <c r="ARX1" s="159"/>
      <c r="ARY1" s="159"/>
      <c r="ARZ1" s="159"/>
      <c r="ASA1" s="159"/>
      <c r="ASB1" s="159"/>
      <c r="ASC1" s="159"/>
      <c r="ASD1" s="159"/>
      <c r="ASE1" s="159"/>
      <c r="ASF1" s="159"/>
      <c r="ASG1" s="159"/>
      <c r="ASH1" s="159"/>
      <c r="ASI1" s="159"/>
      <c r="ASJ1" s="159"/>
      <c r="ASK1" s="159"/>
      <c r="ASL1" s="159"/>
      <c r="ASM1" s="159"/>
      <c r="ASN1" s="159"/>
      <c r="ASO1" s="159"/>
      <c r="ASP1" s="159"/>
      <c r="ASQ1" s="159"/>
      <c r="ASR1" s="159"/>
      <c r="ASS1" s="159"/>
      <c r="AST1" s="159"/>
      <c r="ASU1" s="159"/>
      <c r="ASV1" s="159"/>
      <c r="ASW1" s="159"/>
      <c r="ASX1" s="159"/>
      <c r="ASY1" s="159"/>
      <c r="ASZ1" s="159"/>
      <c r="ATA1" s="159"/>
      <c r="ATB1" s="159"/>
      <c r="ATC1" s="159"/>
      <c r="ATD1" s="159"/>
      <c r="ATE1" s="159"/>
      <c r="ATF1" s="159"/>
      <c r="ATG1" s="159"/>
      <c r="ATH1" s="159"/>
      <c r="ATI1" s="159"/>
      <c r="ATJ1" s="159"/>
      <c r="ATK1" s="159"/>
      <c r="ATL1" s="159"/>
      <c r="ATM1" s="159"/>
      <c r="ATN1" s="159"/>
      <c r="ATO1" s="159"/>
      <c r="ATP1" s="159"/>
      <c r="ATQ1" s="159"/>
      <c r="ATR1" s="159"/>
      <c r="ATS1" s="159"/>
      <c r="ATT1" s="159"/>
      <c r="ATU1" s="159"/>
      <c r="ATV1" s="159"/>
      <c r="ATW1" s="159"/>
      <c r="ATX1" s="159"/>
      <c r="ATY1" s="159"/>
      <c r="ATZ1" s="159"/>
      <c r="AUA1" s="159"/>
      <c r="AUB1" s="159"/>
      <c r="AUC1" s="159"/>
      <c r="AUD1" s="159"/>
      <c r="AUE1" s="159"/>
      <c r="AUF1" s="159"/>
      <c r="AUG1" s="159"/>
      <c r="AUH1" s="159"/>
      <c r="AUI1" s="159"/>
      <c r="AUJ1" s="159"/>
      <c r="AUK1" s="159"/>
      <c r="AUL1" s="159"/>
      <c r="AUM1" s="159"/>
      <c r="AUN1" s="159"/>
      <c r="AUO1" s="159"/>
      <c r="AUP1" s="159"/>
      <c r="AUQ1" s="159"/>
      <c r="AUR1" s="159"/>
      <c r="AUS1" s="159"/>
      <c r="AUT1" s="159"/>
      <c r="AUU1" s="159"/>
      <c r="AUV1" s="159"/>
      <c r="AUW1" s="159"/>
      <c r="AUX1" s="159"/>
      <c r="AUY1" s="159"/>
      <c r="AUZ1" s="159"/>
      <c r="AVA1" s="159"/>
      <c r="AVB1" s="159"/>
      <c r="AVC1" s="159"/>
      <c r="AVD1" s="159"/>
      <c r="AVE1" s="159"/>
      <c r="AVF1" s="159"/>
      <c r="AVG1" s="159"/>
      <c r="AVH1" s="159"/>
      <c r="AVI1" s="159"/>
      <c r="AVJ1" s="159"/>
      <c r="AVK1" s="159"/>
      <c r="AVL1" s="159"/>
      <c r="AVM1" s="159"/>
      <c r="AVN1" s="159"/>
      <c r="AVO1" s="159"/>
      <c r="AVP1" s="159"/>
      <c r="AVQ1" s="159"/>
      <c r="AVR1" s="159"/>
      <c r="AVS1" s="159"/>
      <c r="AVT1" s="159"/>
      <c r="AVU1" s="159"/>
      <c r="AVV1" s="159"/>
      <c r="AVW1" s="159"/>
      <c r="AVX1" s="159"/>
      <c r="AVY1" s="159"/>
      <c r="AVZ1" s="159"/>
      <c r="AWA1" s="159"/>
      <c r="AWB1" s="159"/>
      <c r="AWC1" s="159"/>
      <c r="AWD1" s="159"/>
      <c r="AWE1" s="159"/>
      <c r="AWF1" s="159"/>
      <c r="AWG1" s="159"/>
      <c r="AWH1" s="159"/>
      <c r="AWI1" s="159"/>
      <c r="AWJ1" s="159"/>
      <c r="AWK1" s="159"/>
      <c r="AWL1" s="159"/>
      <c r="AWM1" s="159"/>
      <c r="AWN1" s="159"/>
      <c r="AWO1" s="159"/>
      <c r="AWP1" s="159"/>
      <c r="AWQ1" s="159"/>
      <c r="AWR1" s="159"/>
      <c r="AWS1" s="159"/>
      <c r="AWT1" s="159"/>
      <c r="AWU1" s="159"/>
      <c r="AWV1" s="159"/>
      <c r="AYG1" s="159"/>
      <c r="AYU1" s="159"/>
      <c r="AYV1" s="159"/>
      <c r="AYW1" s="159"/>
      <c r="AYX1" s="159"/>
      <c r="AYY1" s="159"/>
      <c r="AYZ1" s="159"/>
      <c r="AZA1" s="159"/>
      <c r="AZB1" s="159"/>
      <c r="AZC1" s="159"/>
      <c r="AZD1" s="159"/>
      <c r="AZE1" s="159"/>
      <c r="AZF1" s="159"/>
      <c r="AZG1" s="159"/>
      <c r="AZH1" s="159"/>
      <c r="AZI1" s="159"/>
      <c r="AZJ1" s="159"/>
      <c r="AZK1" s="159"/>
      <c r="AZL1" s="159"/>
      <c r="AZM1" s="159"/>
      <c r="AZN1" s="159"/>
      <c r="AZO1" s="159"/>
      <c r="AZP1" s="159"/>
      <c r="AZQ1" s="159"/>
      <c r="AZR1" s="159"/>
      <c r="AZS1" s="159"/>
      <c r="AZT1" s="159"/>
      <c r="AZU1" s="159"/>
      <c r="AZV1" s="159"/>
      <c r="AZW1" s="159"/>
      <c r="AZX1" s="159"/>
      <c r="AZY1" s="159"/>
      <c r="AZZ1" s="159"/>
      <c r="BAA1" s="159"/>
      <c r="BAB1" s="159"/>
      <c r="BAC1" s="159"/>
      <c r="BAD1" s="159"/>
      <c r="BAE1" s="159"/>
      <c r="BAF1" s="159"/>
      <c r="BAG1" s="159"/>
      <c r="BAH1" s="159"/>
      <c r="BAI1" s="159"/>
      <c r="BAJ1" s="159"/>
      <c r="BAK1" s="159"/>
      <c r="BAL1" s="159"/>
      <c r="BAM1" s="159"/>
      <c r="BAN1" s="159"/>
      <c r="BAO1" s="159"/>
      <c r="BAP1" s="159"/>
      <c r="BAQ1" s="159"/>
      <c r="BAR1" s="159"/>
      <c r="BAS1" s="159"/>
      <c r="BAT1" s="159"/>
      <c r="BAU1" s="159"/>
      <c r="BAV1" s="159"/>
      <c r="BAW1" s="159"/>
      <c r="BAX1" s="159"/>
      <c r="BAY1" s="159"/>
      <c r="BAZ1" s="159"/>
      <c r="BBA1" s="159"/>
      <c r="BBB1" s="159"/>
      <c r="BBC1" s="159"/>
      <c r="BBD1" s="159"/>
      <c r="BBE1" s="159"/>
      <c r="BBF1" s="159"/>
      <c r="BBG1" s="159"/>
      <c r="BBH1" s="159"/>
      <c r="BBI1" s="159"/>
      <c r="BBJ1" s="159"/>
      <c r="BBK1" s="159"/>
      <c r="BBL1" s="159"/>
      <c r="BBM1" s="159"/>
      <c r="BBN1" s="159"/>
      <c r="BBO1" s="159"/>
      <c r="BBP1" s="159"/>
      <c r="BBQ1" s="159"/>
      <c r="BBR1" s="159"/>
      <c r="BBS1" s="159"/>
      <c r="BBT1" s="159"/>
      <c r="BBU1" s="159"/>
      <c r="BBV1" s="159"/>
      <c r="BBW1" s="159"/>
      <c r="BBX1" s="159"/>
      <c r="BBY1" s="159"/>
      <c r="BBZ1" s="159"/>
      <c r="BCA1" s="159"/>
      <c r="BCB1" s="159"/>
      <c r="BCC1" s="159"/>
      <c r="BCD1" s="159"/>
      <c r="BCE1" s="159"/>
      <c r="BCF1" s="159"/>
      <c r="BCG1" s="159"/>
      <c r="BCH1" s="159"/>
      <c r="BCI1" s="159"/>
      <c r="BCJ1" s="159"/>
      <c r="BCK1" s="159"/>
      <c r="BCL1" s="159"/>
      <c r="BCM1" s="159"/>
      <c r="BCN1" s="159"/>
      <c r="BCO1" s="159"/>
      <c r="BCP1" s="159"/>
      <c r="BCQ1" s="159"/>
      <c r="BCR1" s="159"/>
      <c r="BCS1" s="159"/>
      <c r="BCT1" s="159"/>
      <c r="BCU1" s="159"/>
      <c r="BCV1" s="159"/>
      <c r="BCW1" s="159"/>
      <c r="BCX1" s="159"/>
      <c r="BCY1" s="159"/>
      <c r="BCZ1" s="159"/>
      <c r="BDA1" s="159"/>
      <c r="BDB1" s="159"/>
      <c r="BDC1" s="159"/>
      <c r="BDD1" s="159"/>
      <c r="BDE1" s="159"/>
      <c r="BDF1" s="159"/>
      <c r="BDG1" s="159"/>
      <c r="BDH1" s="159"/>
      <c r="BDI1" s="159"/>
      <c r="BDJ1" s="159"/>
      <c r="BDK1" s="159"/>
      <c r="BDL1" s="159"/>
      <c r="BDM1" s="159"/>
      <c r="BDN1" s="159"/>
      <c r="BDO1" s="159"/>
      <c r="BDP1" s="159"/>
      <c r="BDQ1" s="159"/>
      <c r="BDR1" s="159"/>
      <c r="BDS1" s="159"/>
      <c r="BDT1" s="159"/>
      <c r="BDU1" s="159"/>
      <c r="BDV1" s="159"/>
      <c r="BDW1" s="159"/>
      <c r="BDX1" s="159"/>
      <c r="BDY1" s="159"/>
      <c r="BDZ1" s="159"/>
      <c r="BEA1" s="159"/>
      <c r="BEB1" s="159"/>
      <c r="BEC1" s="159"/>
      <c r="BED1" s="159"/>
      <c r="BEE1" s="159"/>
      <c r="BEF1" s="159"/>
      <c r="BEG1" s="159"/>
      <c r="BEH1" s="159"/>
      <c r="BEI1" s="159"/>
      <c r="BEJ1" s="159"/>
      <c r="BEK1" s="159"/>
      <c r="BEL1" s="159"/>
      <c r="BEM1" s="159"/>
      <c r="BEN1" s="159"/>
      <c r="BEO1" s="159"/>
      <c r="BEP1" s="159"/>
      <c r="BEQ1" s="159"/>
      <c r="BER1" s="159"/>
      <c r="BES1" s="159"/>
      <c r="BET1" s="159"/>
      <c r="BEU1" s="159"/>
      <c r="BEV1" s="159"/>
      <c r="BEW1" s="159"/>
      <c r="BEX1" s="159"/>
      <c r="BEY1" s="159"/>
      <c r="BEZ1" s="159"/>
      <c r="BFA1" s="159"/>
      <c r="BFB1" s="159"/>
      <c r="BFC1" s="159"/>
      <c r="BFD1" s="159"/>
      <c r="BFE1" s="159"/>
      <c r="BFF1" s="159"/>
      <c r="BFG1" s="159"/>
      <c r="BFH1" s="159"/>
      <c r="BFI1" s="159"/>
      <c r="BFJ1" s="159"/>
      <c r="BFK1" s="159"/>
      <c r="BFL1" s="159"/>
      <c r="BFM1" s="159"/>
      <c r="BFN1" s="159"/>
      <c r="BFO1" s="159"/>
      <c r="BFP1" s="159"/>
      <c r="BFQ1" s="159"/>
      <c r="BFR1" s="159"/>
      <c r="BFS1" s="159"/>
      <c r="BFT1" s="159"/>
      <c r="BFU1" s="159"/>
      <c r="BFV1" s="159"/>
      <c r="BFW1" s="159"/>
      <c r="BFX1" s="159"/>
      <c r="BFY1" s="159"/>
      <c r="BFZ1" s="159"/>
      <c r="BGA1" s="159"/>
      <c r="BGB1" s="159"/>
      <c r="BGC1" s="159"/>
      <c r="BGD1" s="159"/>
      <c r="BGE1" s="159"/>
      <c r="BGF1" s="159"/>
      <c r="BGG1" s="159"/>
      <c r="BGH1" s="159"/>
      <c r="BGI1" s="159"/>
      <c r="BGJ1" s="159"/>
      <c r="BGK1" s="159"/>
      <c r="BGL1" s="159"/>
      <c r="BGM1" s="159"/>
      <c r="BGN1" s="159"/>
      <c r="BGO1" s="159"/>
      <c r="BGP1" s="159"/>
      <c r="BGQ1" s="159"/>
      <c r="BGR1" s="159"/>
      <c r="BIC1" s="159"/>
      <c r="BIQ1" s="159"/>
      <c r="BIR1" s="159"/>
      <c r="BIS1" s="159"/>
      <c r="BIT1" s="159"/>
      <c r="BIU1" s="159"/>
      <c r="BIV1" s="159"/>
      <c r="BIW1" s="159"/>
      <c r="BIX1" s="159"/>
      <c r="BIY1" s="159"/>
      <c r="BIZ1" s="159"/>
      <c r="BJA1" s="159"/>
      <c r="BJB1" s="159"/>
      <c r="BJC1" s="159"/>
      <c r="BJD1" s="159"/>
      <c r="BJE1" s="159"/>
      <c r="BJF1" s="159"/>
      <c r="BJG1" s="159"/>
      <c r="BJH1" s="159"/>
      <c r="BJI1" s="159"/>
      <c r="BJJ1" s="159"/>
      <c r="BJK1" s="159"/>
      <c r="BJL1" s="159"/>
      <c r="BJM1" s="159"/>
      <c r="BJN1" s="159"/>
      <c r="BJO1" s="159"/>
      <c r="BJP1" s="159"/>
      <c r="BJQ1" s="159"/>
      <c r="BJR1" s="159"/>
      <c r="BJS1" s="159"/>
      <c r="BJT1" s="159"/>
      <c r="BJU1" s="159"/>
      <c r="BJV1" s="159"/>
      <c r="BJW1" s="159"/>
      <c r="BJX1" s="159"/>
      <c r="BJY1" s="159"/>
      <c r="BJZ1" s="159"/>
      <c r="BKA1" s="159"/>
      <c r="BKB1" s="159"/>
      <c r="BKC1" s="159"/>
      <c r="BKD1" s="159"/>
      <c r="BKE1" s="159"/>
      <c r="BKF1" s="159"/>
      <c r="BKG1" s="159"/>
      <c r="BKH1" s="159"/>
      <c r="BKI1" s="159"/>
      <c r="BKJ1" s="159"/>
      <c r="BKK1" s="159"/>
      <c r="BKL1" s="159"/>
      <c r="BKM1" s="159"/>
      <c r="BKN1" s="159"/>
      <c r="BKO1" s="159"/>
      <c r="BKP1" s="159"/>
      <c r="BKQ1" s="159"/>
      <c r="BKR1" s="159"/>
      <c r="BKS1" s="159"/>
      <c r="BKT1" s="159"/>
      <c r="BKU1" s="159"/>
      <c r="BKV1" s="159"/>
      <c r="BKW1" s="159"/>
      <c r="BKX1" s="159"/>
      <c r="BKY1" s="159"/>
      <c r="BKZ1" s="159"/>
      <c r="BLA1" s="159"/>
      <c r="BLB1" s="159"/>
      <c r="BLC1" s="159"/>
      <c r="BLD1" s="159"/>
      <c r="BLE1" s="159"/>
      <c r="BLF1" s="159"/>
      <c r="BLG1" s="159"/>
      <c r="BLH1" s="159"/>
      <c r="BLI1" s="159"/>
      <c r="BLJ1" s="159"/>
      <c r="BLK1" s="159"/>
      <c r="BLL1" s="159"/>
      <c r="BLM1" s="159"/>
      <c r="BLN1" s="159"/>
      <c r="BLO1" s="159"/>
      <c r="BLP1" s="159"/>
      <c r="BLQ1" s="159"/>
      <c r="BLR1" s="159"/>
      <c r="BLS1" s="159"/>
      <c r="BLT1" s="159"/>
      <c r="BLU1" s="159"/>
      <c r="BLV1" s="159"/>
      <c r="BLW1" s="159"/>
      <c r="BLX1" s="159"/>
      <c r="BLY1" s="159"/>
      <c r="BLZ1" s="159"/>
      <c r="BMA1" s="159"/>
      <c r="BMB1" s="159"/>
      <c r="BMC1" s="159"/>
      <c r="BMD1" s="159"/>
      <c r="BME1" s="159"/>
      <c r="BMF1" s="159"/>
      <c r="BMG1" s="159"/>
      <c r="BMH1" s="159"/>
      <c r="BMI1" s="159"/>
      <c r="BMJ1" s="159"/>
      <c r="BMK1" s="159"/>
      <c r="BML1" s="159"/>
      <c r="BMM1" s="159"/>
      <c r="BMN1" s="159"/>
      <c r="BMO1" s="159"/>
      <c r="BMP1" s="159"/>
      <c r="BMQ1" s="159"/>
      <c r="BMR1" s="159"/>
      <c r="BMS1" s="159"/>
      <c r="BMT1" s="159"/>
      <c r="BMU1" s="159"/>
      <c r="BMV1" s="159"/>
      <c r="BMW1" s="159"/>
      <c r="BMX1" s="159"/>
      <c r="BMY1" s="159"/>
      <c r="BMZ1" s="159"/>
      <c r="BNA1" s="159"/>
      <c r="BNB1" s="159"/>
      <c r="BNC1" s="159"/>
      <c r="BND1" s="159"/>
      <c r="BNE1" s="159"/>
      <c r="BNF1" s="159"/>
      <c r="BNG1" s="159"/>
      <c r="BNH1" s="159"/>
      <c r="BNI1" s="159"/>
      <c r="BNJ1" s="159"/>
      <c r="BNK1" s="159"/>
      <c r="BNL1" s="159"/>
      <c r="BNM1" s="159"/>
      <c r="BNN1" s="159"/>
      <c r="BNO1" s="159"/>
      <c r="BNP1" s="159"/>
      <c r="BNQ1" s="159"/>
      <c r="BNR1" s="159"/>
      <c r="BNS1" s="159"/>
      <c r="BNT1" s="159"/>
      <c r="BNU1" s="159"/>
      <c r="BNV1" s="159"/>
      <c r="BNW1" s="159"/>
      <c r="BNX1" s="159"/>
      <c r="BNY1" s="159"/>
      <c r="BNZ1" s="159"/>
      <c r="BOA1" s="159"/>
      <c r="BOB1" s="159"/>
      <c r="BOC1" s="159"/>
      <c r="BOD1" s="159"/>
      <c r="BOE1" s="159"/>
      <c r="BOF1" s="159"/>
      <c r="BOG1" s="159"/>
      <c r="BOH1" s="159"/>
      <c r="BOI1" s="159"/>
      <c r="BOJ1" s="159"/>
      <c r="BOK1" s="159"/>
      <c r="BOL1" s="159"/>
      <c r="BOM1" s="159"/>
      <c r="BON1" s="159"/>
      <c r="BOO1" s="159"/>
      <c r="BOP1" s="159"/>
      <c r="BOQ1" s="159"/>
      <c r="BOR1" s="159"/>
      <c r="BOS1" s="159"/>
      <c r="BOT1" s="159"/>
      <c r="BOU1" s="159"/>
      <c r="BOV1" s="159"/>
      <c r="BOW1" s="159"/>
      <c r="BOX1" s="159"/>
      <c r="BOY1" s="159"/>
      <c r="BOZ1" s="159"/>
      <c r="BPA1" s="159"/>
      <c r="BPB1" s="159"/>
      <c r="BPC1" s="159"/>
      <c r="BPD1" s="159"/>
      <c r="BPE1" s="159"/>
      <c r="BPF1" s="159"/>
      <c r="BPG1" s="159"/>
      <c r="BPH1" s="159"/>
      <c r="BPI1" s="159"/>
      <c r="BPJ1" s="159"/>
      <c r="BPK1" s="159"/>
      <c r="BPL1" s="159"/>
      <c r="BPM1" s="159"/>
      <c r="BPN1" s="159"/>
      <c r="BPO1" s="159"/>
      <c r="BPP1" s="159"/>
      <c r="BPQ1" s="159"/>
      <c r="BPR1" s="159"/>
      <c r="BPS1" s="159"/>
      <c r="BPT1" s="159"/>
      <c r="BPU1" s="159"/>
      <c r="BPV1" s="159"/>
      <c r="BPW1" s="159"/>
      <c r="BPX1" s="159"/>
      <c r="BPY1" s="159"/>
      <c r="BPZ1" s="159"/>
      <c r="BQA1" s="159"/>
      <c r="BQB1" s="159"/>
      <c r="BQC1" s="159"/>
      <c r="BQD1" s="159"/>
      <c r="BQE1" s="159"/>
      <c r="BQF1" s="159"/>
      <c r="BQG1" s="159"/>
      <c r="BQH1" s="159"/>
      <c r="BQI1" s="159"/>
      <c r="BQJ1" s="159"/>
      <c r="BQK1" s="159"/>
      <c r="BQL1" s="159"/>
      <c r="BQM1" s="159"/>
      <c r="BQN1" s="159"/>
      <c r="BRY1" s="159"/>
      <c r="BSM1" s="159"/>
      <c r="BSN1" s="159"/>
      <c r="BSO1" s="159"/>
      <c r="BSP1" s="159"/>
      <c r="BSQ1" s="159"/>
      <c r="BSR1" s="159"/>
      <c r="BSS1" s="159"/>
      <c r="BST1" s="159"/>
      <c r="BSU1" s="159"/>
      <c r="BSV1" s="159"/>
      <c r="BSW1" s="159"/>
      <c r="BSX1" s="159"/>
      <c r="BSY1" s="159"/>
      <c r="BSZ1" s="159"/>
      <c r="BTA1" s="159"/>
      <c r="BTB1" s="159"/>
      <c r="BTC1" s="159"/>
      <c r="BTD1" s="159"/>
      <c r="BTE1" s="159"/>
      <c r="BTF1" s="159"/>
      <c r="BTG1" s="159"/>
      <c r="BTH1" s="159"/>
      <c r="BTI1" s="159"/>
      <c r="BTJ1" s="159"/>
      <c r="BTK1" s="159"/>
      <c r="BTL1" s="159"/>
      <c r="BTM1" s="159"/>
      <c r="BTN1" s="159"/>
      <c r="BTO1" s="159"/>
      <c r="BTP1" s="159"/>
      <c r="BTQ1" s="159"/>
      <c r="BTR1" s="159"/>
      <c r="BTS1" s="159"/>
      <c r="BTT1" s="159"/>
      <c r="BTU1" s="159"/>
      <c r="BTV1" s="159"/>
      <c r="BTW1" s="159"/>
      <c r="BTX1" s="159"/>
      <c r="BTY1" s="159"/>
      <c r="BTZ1" s="159"/>
      <c r="BUA1" s="159"/>
      <c r="BUB1" s="159"/>
      <c r="BUC1" s="159"/>
      <c r="BUD1" s="159"/>
      <c r="BUE1" s="159"/>
      <c r="BUF1" s="159"/>
      <c r="BUG1" s="159"/>
      <c r="BUH1" s="159"/>
      <c r="BUI1" s="159"/>
      <c r="BUJ1" s="159"/>
      <c r="BUK1" s="159"/>
      <c r="BUL1" s="159"/>
      <c r="BUM1" s="159"/>
      <c r="BUN1" s="159"/>
      <c r="BUO1" s="159"/>
      <c r="BUP1" s="159"/>
      <c r="BUQ1" s="159"/>
      <c r="BUR1" s="159"/>
      <c r="BUS1" s="159"/>
      <c r="BUT1" s="159"/>
      <c r="BUU1" s="159"/>
      <c r="BUV1" s="159"/>
      <c r="BUW1" s="159"/>
      <c r="BUX1" s="159"/>
      <c r="BUY1" s="159"/>
      <c r="BUZ1" s="159"/>
      <c r="BVA1" s="159"/>
      <c r="BVB1" s="159"/>
      <c r="BVC1" s="159"/>
      <c r="BVD1" s="159"/>
      <c r="BVE1" s="159"/>
      <c r="BVF1" s="159"/>
      <c r="BVG1" s="159"/>
      <c r="BVH1" s="159"/>
      <c r="BVI1" s="159"/>
      <c r="BVJ1" s="159"/>
      <c r="BVK1" s="159"/>
      <c r="BVL1" s="159"/>
      <c r="BVM1" s="159"/>
      <c r="BVN1" s="159"/>
      <c r="BVO1" s="159"/>
      <c r="BVP1" s="159"/>
      <c r="BVQ1" s="159"/>
      <c r="BVR1" s="159"/>
      <c r="BVS1" s="159"/>
      <c r="BVT1" s="159"/>
      <c r="BVU1" s="159"/>
      <c r="BVV1" s="159"/>
      <c r="BVW1" s="159"/>
      <c r="BVX1" s="159"/>
      <c r="BVY1" s="159"/>
      <c r="BVZ1" s="159"/>
      <c r="BWA1" s="159"/>
      <c r="BWB1" s="159"/>
      <c r="BWC1" s="159"/>
      <c r="BWD1" s="159"/>
      <c r="BWE1" s="159"/>
      <c r="BWF1" s="159"/>
      <c r="BWG1" s="159"/>
      <c r="BWH1" s="159"/>
      <c r="BWI1" s="159"/>
      <c r="BWJ1" s="159"/>
      <c r="BWK1" s="159"/>
      <c r="BWL1" s="159"/>
      <c r="BWM1" s="159"/>
      <c r="BWN1" s="159"/>
      <c r="BWO1" s="159"/>
      <c r="BWP1" s="159"/>
      <c r="BWQ1" s="159"/>
      <c r="BWR1" s="159"/>
      <c r="BWS1" s="159"/>
      <c r="BWT1" s="159"/>
      <c r="BWU1" s="159"/>
      <c r="BWV1" s="159"/>
      <c r="BWW1" s="159"/>
      <c r="BWX1" s="159"/>
      <c r="BWY1" s="159"/>
      <c r="BWZ1" s="159"/>
      <c r="BXA1" s="159"/>
      <c r="BXB1" s="159"/>
      <c r="BXC1" s="159"/>
      <c r="BXD1" s="159"/>
      <c r="BXE1" s="159"/>
      <c r="BXF1" s="159"/>
      <c r="BXG1" s="159"/>
      <c r="BXH1" s="159"/>
      <c r="BXI1" s="159"/>
      <c r="BXJ1" s="159"/>
      <c r="BXK1" s="159"/>
      <c r="BXL1" s="159"/>
      <c r="BXM1" s="159"/>
      <c r="BXN1" s="159"/>
      <c r="BXO1" s="159"/>
      <c r="BXP1" s="159"/>
      <c r="BXQ1" s="159"/>
      <c r="BXR1" s="159"/>
      <c r="BXS1" s="159"/>
      <c r="BXT1" s="159"/>
      <c r="BXU1" s="159"/>
      <c r="BXV1" s="159"/>
      <c r="BXW1" s="159"/>
      <c r="BXX1" s="159"/>
      <c r="BXY1" s="159"/>
      <c r="BXZ1" s="159"/>
      <c r="BYA1" s="159"/>
      <c r="BYB1" s="159"/>
      <c r="BYC1" s="159"/>
      <c r="BYD1" s="159"/>
      <c r="BYE1" s="159"/>
      <c r="BYF1" s="159"/>
      <c r="BYG1" s="159"/>
      <c r="BYH1" s="159"/>
      <c r="BYI1" s="159"/>
      <c r="BYJ1" s="159"/>
      <c r="BYK1" s="159"/>
      <c r="BYL1" s="159"/>
      <c r="BYM1" s="159"/>
      <c r="BYN1" s="159"/>
      <c r="BYO1" s="159"/>
      <c r="BYP1" s="159"/>
      <c r="BYQ1" s="159"/>
      <c r="BYR1" s="159"/>
      <c r="BYS1" s="159"/>
      <c r="BYT1" s="159"/>
      <c r="BYU1" s="159"/>
      <c r="BYV1" s="159"/>
      <c r="BYW1" s="159"/>
      <c r="BYX1" s="159"/>
      <c r="BYY1" s="159"/>
      <c r="BYZ1" s="159"/>
      <c r="BZA1" s="159"/>
      <c r="BZB1" s="159"/>
      <c r="BZC1" s="159"/>
      <c r="BZD1" s="159"/>
      <c r="BZE1" s="159"/>
      <c r="BZF1" s="159"/>
      <c r="BZG1" s="159"/>
      <c r="BZH1" s="159"/>
      <c r="BZI1" s="159"/>
      <c r="BZJ1" s="159"/>
      <c r="BZK1" s="159"/>
      <c r="BZL1" s="159"/>
      <c r="BZM1" s="159"/>
      <c r="BZN1" s="159"/>
      <c r="BZO1" s="159"/>
      <c r="BZP1" s="159"/>
      <c r="BZQ1" s="159"/>
      <c r="BZR1" s="159"/>
      <c r="BZS1" s="159"/>
      <c r="BZT1" s="159"/>
      <c r="BZU1" s="159"/>
      <c r="BZV1" s="159"/>
      <c r="BZW1" s="159"/>
      <c r="BZX1" s="159"/>
      <c r="BZY1" s="159"/>
      <c r="BZZ1" s="159"/>
      <c r="CAA1" s="159"/>
      <c r="CAB1" s="159"/>
      <c r="CAC1" s="159"/>
      <c r="CAD1" s="159"/>
      <c r="CAE1" s="159"/>
      <c r="CAF1" s="159"/>
      <c r="CAG1" s="159"/>
      <c r="CAH1" s="159"/>
      <c r="CAI1" s="159"/>
      <c r="CAJ1" s="159"/>
      <c r="CBU1" s="159"/>
      <c r="CCI1" s="159"/>
      <c r="CCJ1" s="159"/>
      <c r="CCK1" s="159"/>
      <c r="CCL1" s="159"/>
      <c r="CCM1" s="159"/>
      <c r="CCN1" s="159"/>
      <c r="CCO1" s="159"/>
      <c r="CCP1" s="159"/>
      <c r="CCQ1" s="159"/>
      <c r="CCR1" s="159"/>
      <c r="CCS1" s="159"/>
      <c r="CCT1" s="159"/>
      <c r="CCU1" s="159"/>
      <c r="CCV1" s="159"/>
      <c r="CCW1" s="159"/>
      <c r="CCX1" s="159"/>
      <c r="CCY1" s="159"/>
      <c r="CCZ1" s="159"/>
      <c r="CDA1" s="159"/>
      <c r="CDB1" s="159"/>
      <c r="CDC1" s="159"/>
      <c r="CDD1" s="159"/>
      <c r="CDE1" s="159"/>
      <c r="CDF1" s="159"/>
      <c r="CDG1" s="159"/>
      <c r="CDH1" s="159"/>
      <c r="CDI1" s="159"/>
      <c r="CDJ1" s="159"/>
      <c r="CDK1" s="159"/>
      <c r="CDL1" s="159"/>
      <c r="CDM1" s="159"/>
      <c r="CDN1" s="159"/>
      <c r="CDO1" s="159"/>
      <c r="CDP1" s="159"/>
      <c r="CDQ1" s="159"/>
      <c r="CDR1" s="159"/>
      <c r="CDS1" s="159"/>
      <c r="CDT1" s="159"/>
      <c r="CDU1" s="159"/>
      <c r="CDV1" s="159"/>
      <c r="CDW1" s="159"/>
      <c r="CDX1" s="159"/>
      <c r="CDY1" s="159"/>
      <c r="CDZ1" s="159"/>
      <c r="CEA1" s="159"/>
      <c r="CEB1" s="159"/>
      <c r="CEC1" s="159"/>
      <c r="CED1" s="159"/>
      <c r="CEE1" s="159"/>
      <c r="CEF1" s="159"/>
      <c r="CEG1" s="159"/>
      <c r="CEH1" s="159"/>
      <c r="CEI1" s="159"/>
      <c r="CEJ1" s="159"/>
      <c r="CEK1" s="159"/>
      <c r="CEL1" s="159"/>
      <c r="CEM1" s="159"/>
      <c r="CEN1" s="159"/>
      <c r="CEO1" s="159"/>
      <c r="CEP1" s="159"/>
      <c r="CEQ1" s="159"/>
      <c r="CER1" s="159"/>
      <c r="CES1" s="159"/>
      <c r="CET1" s="159"/>
      <c r="CEU1" s="159"/>
      <c r="CEV1" s="159"/>
      <c r="CEW1" s="159"/>
      <c r="CEX1" s="159"/>
      <c r="CEY1" s="159"/>
      <c r="CEZ1" s="159"/>
      <c r="CFA1" s="159"/>
      <c r="CFB1" s="159"/>
      <c r="CFC1" s="159"/>
      <c r="CFD1" s="159"/>
      <c r="CFE1" s="159"/>
      <c r="CFF1" s="159"/>
      <c r="CFG1" s="159"/>
      <c r="CFH1" s="159"/>
      <c r="CFI1" s="159"/>
      <c r="CFJ1" s="159"/>
      <c r="CFK1" s="159"/>
      <c r="CFL1" s="159"/>
      <c r="CFM1" s="159"/>
      <c r="CFN1" s="159"/>
      <c r="CFO1" s="159"/>
      <c r="CFP1" s="159"/>
      <c r="CFQ1" s="159"/>
      <c r="CFR1" s="159"/>
      <c r="CFS1" s="159"/>
      <c r="CFT1" s="159"/>
      <c r="CFU1" s="159"/>
      <c r="CFV1" s="159"/>
      <c r="CFW1" s="159"/>
      <c r="CFX1" s="159"/>
      <c r="CFY1" s="159"/>
      <c r="CFZ1" s="159"/>
      <c r="CGA1" s="159"/>
      <c r="CGB1" s="159"/>
      <c r="CGC1" s="159"/>
      <c r="CGD1" s="159"/>
      <c r="CGE1" s="159"/>
      <c r="CGF1" s="159"/>
      <c r="CGG1" s="159"/>
      <c r="CGH1" s="159"/>
      <c r="CGI1" s="159"/>
      <c r="CGJ1" s="159"/>
      <c r="CGK1" s="159"/>
      <c r="CGL1" s="159"/>
      <c r="CGM1" s="159"/>
      <c r="CGN1" s="159"/>
      <c r="CGO1" s="159"/>
      <c r="CGP1" s="159"/>
      <c r="CGQ1" s="159"/>
      <c r="CGR1" s="159"/>
      <c r="CGS1" s="159"/>
      <c r="CGT1" s="159"/>
      <c r="CGU1" s="159"/>
      <c r="CGV1" s="159"/>
      <c r="CGW1" s="159"/>
      <c r="CGX1" s="159"/>
      <c r="CGY1" s="159"/>
      <c r="CGZ1" s="159"/>
      <c r="CHA1" s="159"/>
      <c r="CHB1" s="159"/>
      <c r="CHC1" s="159"/>
      <c r="CHD1" s="159"/>
      <c r="CHE1" s="159"/>
      <c r="CHF1" s="159"/>
      <c r="CHG1" s="159"/>
      <c r="CHH1" s="159"/>
      <c r="CHI1" s="159"/>
      <c r="CHJ1" s="159"/>
      <c r="CHK1" s="159"/>
      <c r="CHL1" s="159"/>
      <c r="CHM1" s="159"/>
      <c r="CHN1" s="159"/>
      <c r="CHO1" s="159"/>
      <c r="CHP1" s="159"/>
      <c r="CHQ1" s="159"/>
      <c r="CHR1" s="159"/>
      <c r="CHS1" s="159"/>
      <c r="CHT1" s="159"/>
      <c r="CHU1" s="159"/>
      <c r="CHV1" s="159"/>
      <c r="CHW1" s="159"/>
      <c r="CHX1" s="159"/>
      <c r="CHY1" s="159"/>
      <c r="CHZ1" s="159"/>
      <c r="CIA1" s="159"/>
      <c r="CIB1" s="159"/>
      <c r="CIC1" s="159"/>
      <c r="CID1" s="159"/>
      <c r="CIE1" s="159"/>
      <c r="CIF1" s="159"/>
      <c r="CIG1" s="159"/>
      <c r="CIH1" s="159"/>
      <c r="CII1" s="159"/>
      <c r="CIJ1" s="159"/>
      <c r="CIK1" s="159"/>
      <c r="CIL1" s="159"/>
      <c r="CIM1" s="159"/>
      <c r="CIN1" s="159"/>
      <c r="CIO1" s="159"/>
      <c r="CIP1" s="159"/>
      <c r="CIQ1" s="159"/>
      <c r="CIR1" s="159"/>
      <c r="CIS1" s="159"/>
      <c r="CIT1" s="159"/>
      <c r="CIU1" s="159"/>
      <c r="CIV1" s="159"/>
      <c r="CIW1" s="159"/>
      <c r="CIX1" s="159"/>
      <c r="CIY1" s="159"/>
      <c r="CIZ1" s="159"/>
      <c r="CJA1" s="159"/>
      <c r="CJB1" s="159"/>
      <c r="CJC1" s="159"/>
      <c r="CJD1" s="159"/>
      <c r="CJE1" s="159"/>
      <c r="CJF1" s="159"/>
      <c r="CJG1" s="159"/>
      <c r="CJH1" s="159"/>
      <c r="CJI1" s="159"/>
      <c r="CJJ1" s="159"/>
      <c r="CJK1" s="159"/>
      <c r="CJL1" s="159"/>
      <c r="CJM1" s="159"/>
      <c r="CJN1" s="159"/>
      <c r="CJO1" s="159"/>
      <c r="CJP1" s="159"/>
      <c r="CJQ1" s="159"/>
      <c r="CJR1" s="159"/>
      <c r="CJS1" s="159"/>
      <c r="CJT1" s="159"/>
      <c r="CJU1" s="159"/>
      <c r="CJV1" s="159"/>
      <c r="CJW1" s="159"/>
      <c r="CJX1" s="159"/>
      <c r="CJY1" s="159"/>
      <c r="CJZ1" s="159"/>
      <c r="CKA1" s="159"/>
      <c r="CKB1" s="159"/>
      <c r="CKC1" s="159"/>
      <c r="CKD1" s="159"/>
      <c r="CKE1" s="159"/>
      <c r="CKF1" s="159"/>
      <c r="CLQ1" s="159"/>
      <c r="CME1" s="159"/>
      <c r="CMF1" s="159"/>
      <c r="CMG1" s="159"/>
      <c r="CMH1" s="159"/>
      <c r="CMI1" s="159"/>
      <c r="CMJ1" s="159"/>
      <c r="CMK1" s="159"/>
      <c r="CML1" s="159"/>
      <c r="CMM1" s="159"/>
      <c r="CMN1" s="159"/>
      <c r="CMO1" s="159"/>
      <c r="CMP1" s="159"/>
      <c r="CMQ1" s="159"/>
      <c r="CMR1" s="159"/>
      <c r="CMS1" s="159"/>
      <c r="CMT1" s="159"/>
      <c r="CMU1" s="159"/>
      <c r="CMV1" s="159"/>
      <c r="CMW1" s="159"/>
      <c r="CMX1" s="159"/>
      <c r="CMY1" s="159"/>
      <c r="CMZ1" s="159"/>
      <c r="CNA1" s="159"/>
      <c r="CNB1" s="159"/>
      <c r="CNC1" s="159"/>
      <c r="CND1" s="159"/>
      <c r="CNE1" s="159"/>
      <c r="CNF1" s="159"/>
      <c r="CNG1" s="159"/>
      <c r="CNH1" s="159"/>
      <c r="CNI1" s="159"/>
      <c r="CNJ1" s="159"/>
      <c r="CNK1" s="159"/>
      <c r="CNL1" s="159"/>
      <c r="CNM1" s="159"/>
      <c r="CNN1" s="159"/>
      <c r="CNO1" s="159"/>
      <c r="CNP1" s="159"/>
      <c r="CNQ1" s="159"/>
      <c r="CNR1" s="159"/>
      <c r="CNS1" s="159"/>
      <c r="CNT1" s="159"/>
      <c r="CNU1" s="159"/>
      <c r="CNV1" s="159"/>
      <c r="CNW1" s="159"/>
      <c r="CNX1" s="159"/>
      <c r="CNY1" s="159"/>
      <c r="CNZ1" s="159"/>
      <c r="COA1" s="159"/>
      <c r="COB1" s="159"/>
      <c r="COC1" s="159"/>
      <c r="COD1" s="159"/>
      <c r="COE1" s="159"/>
      <c r="COF1" s="159"/>
      <c r="COG1" s="159"/>
      <c r="COH1" s="159"/>
      <c r="COI1" s="159"/>
      <c r="COJ1" s="159"/>
      <c r="COK1" s="159"/>
      <c r="COL1" s="159"/>
      <c r="COM1" s="159"/>
      <c r="CON1" s="159"/>
      <c r="COO1" s="159"/>
      <c r="COP1" s="159"/>
      <c r="COQ1" s="159"/>
      <c r="COR1" s="159"/>
      <c r="COS1" s="159"/>
      <c r="COT1" s="159"/>
      <c r="COU1" s="159"/>
      <c r="COV1" s="159"/>
      <c r="COW1" s="159"/>
      <c r="COX1" s="159"/>
      <c r="COY1" s="159"/>
      <c r="COZ1" s="159"/>
      <c r="CPA1" s="159"/>
      <c r="CPB1" s="159"/>
      <c r="CPC1" s="159"/>
      <c r="CPD1" s="159"/>
      <c r="CPE1" s="159"/>
      <c r="CPF1" s="159"/>
      <c r="CPG1" s="159"/>
      <c r="CPH1" s="159"/>
      <c r="CPI1" s="159"/>
      <c r="CPJ1" s="159"/>
      <c r="CPK1" s="159"/>
      <c r="CPL1" s="159"/>
      <c r="CPM1" s="159"/>
      <c r="CPN1" s="159"/>
      <c r="CPO1" s="159"/>
      <c r="CPP1" s="159"/>
      <c r="CPQ1" s="159"/>
      <c r="CPR1" s="159"/>
      <c r="CPS1" s="159"/>
      <c r="CPT1" s="159"/>
      <c r="CPU1" s="159"/>
      <c r="CPV1" s="159"/>
      <c r="CPW1" s="159"/>
      <c r="CPX1" s="159"/>
      <c r="CPY1" s="159"/>
      <c r="CPZ1" s="159"/>
      <c r="CQA1" s="159"/>
      <c r="CQB1" s="159"/>
      <c r="CQC1" s="159"/>
      <c r="CQD1" s="159"/>
      <c r="CQE1" s="159"/>
      <c r="CQF1" s="159"/>
      <c r="CQG1" s="159"/>
      <c r="CQH1" s="159"/>
      <c r="CQI1" s="159"/>
      <c r="CQJ1" s="159"/>
      <c r="CQK1" s="159"/>
      <c r="CQL1" s="159"/>
      <c r="CQM1" s="159"/>
      <c r="CQN1" s="159"/>
      <c r="CQO1" s="159"/>
      <c r="CQP1" s="159"/>
      <c r="CQQ1" s="159"/>
      <c r="CQR1" s="159"/>
      <c r="CQS1" s="159"/>
      <c r="CQT1" s="159"/>
      <c r="CQU1" s="159"/>
      <c r="CQV1" s="159"/>
      <c r="CQW1" s="159"/>
      <c r="CQX1" s="159"/>
      <c r="CQY1" s="159"/>
      <c r="CQZ1" s="159"/>
      <c r="CRA1" s="159"/>
      <c r="CRB1" s="159"/>
      <c r="CRC1" s="159"/>
      <c r="CRD1" s="159"/>
      <c r="CRE1" s="159"/>
      <c r="CRF1" s="159"/>
      <c r="CRG1" s="159"/>
      <c r="CRH1" s="159"/>
      <c r="CRI1" s="159"/>
      <c r="CRJ1" s="159"/>
      <c r="CRK1" s="159"/>
      <c r="CRL1" s="159"/>
      <c r="CRM1" s="159"/>
      <c r="CRN1" s="159"/>
      <c r="CRO1" s="159"/>
      <c r="CRP1" s="159"/>
      <c r="CRQ1" s="159"/>
      <c r="CRR1" s="159"/>
      <c r="CRS1" s="159"/>
      <c r="CRT1" s="159"/>
      <c r="CRU1" s="159"/>
      <c r="CRV1" s="159"/>
      <c r="CRW1" s="159"/>
      <c r="CRX1" s="159"/>
      <c r="CRY1" s="159"/>
      <c r="CRZ1" s="159"/>
      <c r="CSA1" s="159"/>
      <c r="CSB1" s="159"/>
      <c r="CSC1" s="159"/>
      <c r="CSD1" s="159"/>
      <c r="CSE1" s="159"/>
      <c r="CSF1" s="159"/>
      <c r="CSG1" s="159"/>
      <c r="CSH1" s="159"/>
      <c r="CSI1" s="159"/>
      <c r="CSJ1" s="159"/>
      <c r="CSK1" s="159"/>
      <c r="CSL1" s="159"/>
      <c r="CSM1" s="159"/>
      <c r="CSN1" s="159"/>
      <c r="CSO1" s="159"/>
      <c r="CSP1" s="159"/>
      <c r="CSQ1" s="159"/>
      <c r="CSR1" s="159"/>
      <c r="CSS1" s="159"/>
      <c r="CST1" s="159"/>
      <c r="CSU1" s="159"/>
      <c r="CSV1" s="159"/>
      <c r="CSW1" s="159"/>
      <c r="CSX1" s="159"/>
      <c r="CSY1" s="159"/>
      <c r="CSZ1" s="159"/>
      <c r="CTA1" s="159"/>
      <c r="CTB1" s="159"/>
      <c r="CTC1" s="159"/>
      <c r="CTD1" s="159"/>
      <c r="CTE1" s="159"/>
      <c r="CTF1" s="159"/>
      <c r="CTG1" s="159"/>
      <c r="CTH1" s="159"/>
      <c r="CTI1" s="159"/>
      <c r="CTJ1" s="159"/>
      <c r="CTK1" s="159"/>
      <c r="CTL1" s="159"/>
      <c r="CTM1" s="159"/>
      <c r="CTN1" s="159"/>
      <c r="CTO1" s="159"/>
      <c r="CTP1" s="159"/>
      <c r="CTQ1" s="159"/>
      <c r="CTR1" s="159"/>
      <c r="CTS1" s="159"/>
      <c r="CTT1" s="159"/>
      <c r="CTU1" s="159"/>
      <c r="CTV1" s="159"/>
      <c r="CTW1" s="159"/>
      <c r="CTX1" s="159"/>
      <c r="CTY1" s="159"/>
      <c r="CTZ1" s="159"/>
      <c r="CUA1" s="159"/>
      <c r="CUB1" s="159"/>
      <c r="CVM1" s="159"/>
      <c r="CWA1" s="159"/>
      <c r="CWB1" s="159"/>
      <c r="CWC1" s="159"/>
      <c r="CWD1" s="159"/>
      <c r="CWE1" s="159"/>
      <c r="CWF1" s="159"/>
      <c r="CWG1" s="159"/>
      <c r="CWH1" s="159"/>
      <c r="CWI1" s="159"/>
      <c r="CWJ1" s="159"/>
      <c r="CWK1" s="159"/>
      <c r="CWL1" s="159"/>
      <c r="CWM1" s="159"/>
      <c r="CWN1" s="159"/>
      <c r="CWO1" s="159"/>
      <c r="CWP1" s="159"/>
      <c r="CWQ1" s="159"/>
      <c r="CWR1" s="159"/>
      <c r="CWS1" s="159"/>
      <c r="CWT1" s="159"/>
      <c r="CWU1" s="159"/>
      <c r="CWV1" s="159"/>
      <c r="CWW1" s="159"/>
      <c r="CWX1" s="159"/>
      <c r="CWY1" s="159"/>
      <c r="CWZ1" s="159"/>
      <c r="CXA1" s="159"/>
      <c r="CXB1" s="159"/>
      <c r="CXC1" s="159"/>
      <c r="CXD1" s="159"/>
      <c r="CXE1" s="159"/>
      <c r="CXF1" s="159"/>
      <c r="CXG1" s="159"/>
      <c r="CXH1" s="159"/>
      <c r="CXI1" s="159"/>
      <c r="CXJ1" s="159"/>
      <c r="CXK1" s="159"/>
      <c r="CXL1" s="159"/>
      <c r="CXM1" s="159"/>
      <c r="CXN1" s="159"/>
      <c r="CXO1" s="159"/>
      <c r="CXP1" s="159"/>
      <c r="CXQ1" s="159"/>
      <c r="CXR1" s="159"/>
      <c r="CXS1" s="159"/>
      <c r="CXT1" s="159"/>
      <c r="CXU1" s="159"/>
      <c r="CXV1" s="159"/>
      <c r="CXW1" s="159"/>
      <c r="CXX1" s="159"/>
      <c r="CXY1" s="159"/>
      <c r="CXZ1" s="159"/>
      <c r="CYA1" s="159"/>
      <c r="CYB1" s="159"/>
      <c r="CYC1" s="159"/>
      <c r="CYD1" s="159"/>
      <c r="CYE1" s="159"/>
      <c r="CYF1" s="159"/>
      <c r="CYG1" s="159"/>
      <c r="CYH1" s="159"/>
      <c r="CYI1" s="159"/>
      <c r="CYJ1" s="159"/>
      <c r="CYK1" s="159"/>
      <c r="CYL1" s="159"/>
      <c r="CYM1" s="159"/>
      <c r="CYN1" s="159"/>
      <c r="CYO1" s="159"/>
      <c r="CYP1" s="159"/>
      <c r="CYQ1" s="159"/>
      <c r="CYR1" s="159"/>
      <c r="CYS1" s="159"/>
      <c r="CYT1" s="159"/>
      <c r="CYU1" s="159"/>
      <c r="CYV1" s="159"/>
      <c r="CYW1" s="159"/>
      <c r="CYX1" s="159"/>
      <c r="CYY1" s="159"/>
      <c r="CYZ1" s="159"/>
      <c r="CZA1" s="159"/>
      <c r="CZB1" s="159"/>
      <c r="CZC1" s="159"/>
      <c r="CZD1" s="159"/>
      <c r="CZE1" s="159"/>
      <c r="CZF1" s="159"/>
      <c r="CZG1" s="159"/>
      <c r="CZH1" s="159"/>
      <c r="CZI1" s="159"/>
      <c r="CZJ1" s="159"/>
      <c r="CZK1" s="159"/>
      <c r="CZL1" s="159"/>
      <c r="CZM1" s="159"/>
      <c r="CZN1" s="159"/>
      <c r="CZO1" s="159"/>
      <c r="CZP1" s="159"/>
      <c r="CZQ1" s="159"/>
      <c r="CZR1" s="159"/>
      <c r="CZS1" s="159"/>
      <c r="CZT1" s="159"/>
      <c r="CZU1" s="159"/>
      <c r="CZV1" s="159"/>
      <c r="CZW1" s="159"/>
      <c r="CZX1" s="159"/>
      <c r="CZY1" s="159"/>
      <c r="CZZ1" s="159"/>
      <c r="DAA1" s="159"/>
      <c r="DAB1" s="159"/>
      <c r="DAC1" s="159"/>
      <c r="DAD1" s="159"/>
      <c r="DAE1" s="159"/>
      <c r="DAF1" s="159"/>
      <c r="DAG1" s="159"/>
      <c r="DAH1" s="159"/>
      <c r="DAI1" s="159"/>
      <c r="DAJ1" s="159"/>
      <c r="DAK1" s="159"/>
      <c r="DAL1" s="159"/>
      <c r="DAM1" s="159"/>
      <c r="DAN1" s="159"/>
      <c r="DAO1" s="159"/>
      <c r="DAP1" s="159"/>
      <c r="DAQ1" s="159"/>
      <c r="DAR1" s="159"/>
      <c r="DAS1" s="159"/>
      <c r="DAT1" s="159"/>
      <c r="DAU1" s="159"/>
      <c r="DAV1" s="159"/>
      <c r="DAW1" s="159"/>
      <c r="DAX1" s="159"/>
      <c r="DAY1" s="159"/>
      <c r="DAZ1" s="159"/>
      <c r="DBA1" s="159"/>
      <c r="DBB1" s="159"/>
      <c r="DBC1" s="159"/>
      <c r="DBD1" s="159"/>
      <c r="DBE1" s="159"/>
      <c r="DBF1" s="159"/>
      <c r="DBG1" s="159"/>
      <c r="DBH1" s="159"/>
      <c r="DBI1" s="159"/>
      <c r="DBJ1" s="159"/>
      <c r="DBK1" s="159"/>
      <c r="DBL1" s="159"/>
      <c r="DBM1" s="159"/>
      <c r="DBN1" s="159"/>
      <c r="DBO1" s="159"/>
      <c r="DBP1" s="159"/>
      <c r="DBQ1" s="159"/>
      <c r="DBR1" s="159"/>
      <c r="DBS1" s="159"/>
      <c r="DBT1" s="159"/>
      <c r="DBU1" s="159"/>
      <c r="DBV1" s="159"/>
      <c r="DBW1" s="159"/>
      <c r="DBX1" s="159"/>
      <c r="DBY1" s="159"/>
      <c r="DBZ1" s="159"/>
      <c r="DCA1" s="159"/>
      <c r="DCB1" s="159"/>
      <c r="DCC1" s="159"/>
      <c r="DCD1" s="159"/>
      <c r="DCE1" s="159"/>
      <c r="DCF1" s="159"/>
      <c r="DCG1" s="159"/>
      <c r="DCH1" s="159"/>
      <c r="DCI1" s="159"/>
      <c r="DCJ1" s="159"/>
      <c r="DCK1" s="159"/>
      <c r="DCL1" s="159"/>
      <c r="DCM1" s="159"/>
      <c r="DCN1" s="159"/>
      <c r="DCO1" s="159"/>
      <c r="DCP1" s="159"/>
      <c r="DCQ1" s="159"/>
      <c r="DCR1" s="159"/>
      <c r="DCS1" s="159"/>
      <c r="DCT1" s="159"/>
      <c r="DCU1" s="159"/>
      <c r="DCV1" s="159"/>
      <c r="DCW1" s="159"/>
      <c r="DCX1" s="159"/>
      <c r="DCY1" s="159"/>
      <c r="DCZ1" s="159"/>
      <c r="DDA1" s="159"/>
      <c r="DDB1" s="159"/>
      <c r="DDC1" s="159"/>
      <c r="DDD1" s="159"/>
      <c r="DDE1" s="159"/>
      <c r="DDF1" s="159"/>
      <c r="DDG1" s="159"/>
      <c r="DDH1" s="159"/>
      <c r="DDI1" s="159"/>
      <c r="DDJ1" s="159"/>
      <c r="DDK1" s="159"/>
      <c r="DDL1" s="159"/>
      <c r="DDM1" s="159"/>
      <c r="DDN1" s="159"/>
      <c r="DDO1" s="159"/>
      <c r="DDP1" s="159"/>
      <c r="DDQ1" s="159"/>
      <c r="DDR1" s="159"/>
      <c r="DDS1" s="159"/>
      <c r="DDT1" s="159"/>
      <c r="DDU1" s="159"/>
      <c r="DDV1" s="159"/>
      <c r="DDW1" s="159"/>
      <c r="DDX1" s="159"/>
      <c r="DFI1" s="159"/>
      <c r="DFW1" s="159"/>
      <c r="DFX1" s="159"/>
      <c r="DFY1" s="159"/>
      <c r="DFZ1" s="159"/>
      <c r="DGA1" s="159"/>
      <c r="DGB1" s="159"/>
      <c r="DGC1" s="159"/>
      <c r="DGD1" s="159"/>
      <c r="DGE1" s="159"/>
      <c r="DGF1" s="159"/>
      <c r="DGG1" s="159"/>
      <c r="DGH1" s="159"/>
      <c r="DGI1" s="159"/>
      <c r="DGJ1" s="159"/>
      <c r="DGK1" s="159"/>
      <c r="DGL1" s="159"/>
      <c r="DGM1" s="159"/>
      <c r="DGN1" s="159"/>
      <c r="DGO1" s="159"/>
      <c r="DGP1" s="159"/>
      <c r="DGQ1" s="159"/>
      <c r="DGR1" s="159"/>
      <c r="DGS1" s="159"/>
      <c r="DGT1" s="159"/>
      <c r="DGU1" s="159"/>
      <c r="DGV1" s="159"/>
      <c r="DGW1" s="159"/>
      <c r="DGX1" s="159"/>
      <c r="DGY1" s="159"/>
      <c r="DGZ1" s="159"/>
      <c r="DHA1" s="159"/>
      <c r="DHB1" s="159"/>
      <c r="DHC1" s="159"/>
      <c r="DHD1" s="159"/>
      <c r="DHE1" s="159"/>
      <c r="DHF1" s="159"/>
      <c r="DHG1" s="159"/>
      <c r="DHH1" s="159"/>
      <c r="DHI1" s="159"/>
      <c r="DHJ1" s="159"/>
      <c r="DHK1" s="159"/>
      <c r="DHL1" s="159"/>
      <c r="DHM1" s="159"/>
      <c r="DHN1" s="159"/>
      <c r="DHO1" s="159"/>
      <c r="DHP1" s="159"/>
      <c r="DHQ1" s="159"/>
      <c r="DHR1" s="159"/>
      <c r="DHS1" s="159"/>
      <c r="DHT1" s="159"/>
      <c r="DHU1" s="159"/>
      <c r="DHV1" s="159"/>
      <c r="DHW1" s="159"/>
      <c r="DHX1" s="159"/>
      <c r="DHY1" s="159"/>
      <c r="DHZ1" s="159"/>
      <c r="DIA1" s="159"/>
      <c r="DIB1" s="159"/>
      <c r="DIC1" s="159"/>
      <c r="DID1" s="159"/>
      <c r="DIE1" s="159"/>
      <c r="DIF1" s="159"/>
      <c r="DIG1" s="159"/>
      <c r="DIH1" s="159"/>
      <c r="DII1" s="159"/>
      <c r="DIJ1" s="159"/>
      <c r="DIK1" s="159"/>
      <c r="DIL1" s="159"/>
      <c r="DIM1" s="159"/>
      <c r="DIN1" s="159"/>
      <c r="DIO1" s="159"/>
      <c r="DIP1" s="159"/>
      <c r="DIQ1" s="159"/>
      <c r="DIR1" s="159"/>
      <c r="DIS1" s="159"/>
      <c r="DIT1" s="159"/>
      <c r="DIU1" s="159"/>
      <c r="DIV1" s="159"/>
      <c r="DIW1" s="159"/>
      <c r="DIX1" s="159"/>
      <c r="DIY1" s="159"/>
      <c r="DIZ1" s="159"/>
      <c r="DJA1" s="159"/>
      <c r="DJB1" s="159"/>
      <c r="DJC1" s="159"/>
      <c r="DJD1" s="159"/>
      <c r="DJE1" s="159"/>
      <c r="DJF1" s="159"/>
      <c r="DJG1" s="159"/>
      <c r="DJH1" s="159"/>
      <c r="DJI1" s="159"/>
      <c r="DJJ1" s="159"/>
      <c r="DJK1" s="159"/>
      <c r="DJL1" s="159"/>
      <c r="DJM1" s="159"/>
      <c r="DJN1" s="159"/>
      <c r="DJO1" s="159"/>
      <c r="DJP1" s="159"/>
      <c r="DJQ1" s="159"/>
      <c r="DJR1" s="159"/>
      <c r="DJS1" s="159"/>
      <c r="DJT1" s="159"/>
      <c r="DJU1" s="159"/>
      <c r="DJV1" s="159"/>
      <c r="DJW1" s="159"/>
      <c r="DJX1" s="159"/>
      <c r="DJY1" s="159"/>
      <c r="DJZ1" s="159"/>
      <c r="DKA1" s="159"/>
      <c r="DKB1" s="159"/>
      <c r="DKC1" s="159"/>
      <c r="DKD1" s="159"/>
      <c r="DKE1" s="159"/>
      <c r="DKF1" s="159"/>
      <c r="DKG1" s="159"/>
      <c r="DKH1" s="159"/>
      <c r="DKI1" s="159"/>
      <c r="DKJ1" s="159"/>
      <c r="DKK1" s="159"/>
      <c r="DKL1" s="159"/>
      <c r="DKM1" s="159"/>
      <c r="DKN1" s="159"/>
      <c r="DKO1" s="159"/>
      <c r="DKP1" s="159"/>
      <c r="DKQ1" s="159"/>
      <c r="DKR1" s="159"/>
      <c r="DKS1" s="159"/>
      <c r="DKT1" s="159"/>
      <c r="DKU1" s="159"/>
      <c r="DKV1" s="159"/>
      <c r="DKW1" s="159"/>
      <c r="DKX1" s="159"/>
      <c r="DKY1" s="159"/>
      <c r="DKZ1" s="159"/>
      <c r="DLA1" s="159"/>
      <c r="DLB1" s="159"/>
      <c r="DLC1" s="159"/>
      <c r="DLD1" s="159"/>
      <c r="DLE1" s="159"/>
      <c r="DLF1" s="159"/>
      <c r="DLG1" s="159"/>
      <c r="DLH1" s="159"/>
      <c r="DLI1" s="159"/>
      <c r="DLJ1" s="159"/>
      <c r="DLK1" s="159"/>
      <c r="DLL1" s="159"/>
      <c r="DLM1" s="159"/>
      <c r="DLN1" s="159"/>
      <c r="DLO1" s="159"/>
      <c r="DLP1" s="159"/>
      <c r="DLQ1" s="159"/>
      <c r="DLR1" s="159"/>
      <c r="DLS1" s="159"/>
      <c r="DLT1" s="159"/>
      <c r="DLU1" s="159"/>
      <c r="DLV1" s="159"/>
      <c r="DLW1" s="159"/>
      <c r="DLX1" s="159"/>
      <c r="DLY1" s="159"/>
      <c r="DLZ1" s="159"/>
      <c r="DMA1" s="159"/>
      <c r="DMB1" s="159"/>
      <c r="DMC1" s="159"/>
      <c r="DMD1" s="159"/>
      <c r="DME1" s="159"/>
      <c r="DMF1" s="159"/>
      <c r="DMG1" s="159"/>
      <c r="DMH1" s="159"/>
      <c r="DMI1" s="159"/>
      <c r="DMJ1" s="159"/>
      <c r="DMK1" s="159"/>
      <c r="DML1" s="159"/>
      <c r="DMM1" s="159"/>
      <c r="DMN1" s="159"/>
      <c r="DMO1" s="159"/>
      <c r="DMP1" s="159"/>
      <c r="DMQ1" s="159"/>
      <c r="DMR1" s="159"/>
      <c r="DMS1" s="159"/>
      <c r="DMT1" s="159"/>
      <c r="DMU1" s="159"/>
      <c r="DMV1" s="159"/>
      <c r="DMW1" s="159"/>
      <c r="DMX1" s="159"/>
      <c r="DMY1" s="159"/>
      <c r="DMZ1" s="159"/>
      <c r="DNA1" s="159"/>
      <c r="DNB1" s="159"/>
      <c r="DNC1" s="159"/>
      <c r="DND1" s="159"/>
      <c r="DNE1" s="159"/>
      <c r="DNF1" s="159"/>
      <c r="DNG1" s="159"/>
      <c r="DNH1" s="159"/>
      <c r="DNI1" s="159"/>
      <c r="DNJ1" s="159"/>
      <c r="DNK1" s="159"/>
      <c r="DNL1" s="159"/>
      <c r="DNM1" s="159"/>
      <c r="DNN1" s="159"/>
      <c r="DNO1" s="159"/>
      <c r="DNP1" s="159"/>
      <c r="DNQ1" s="159"/>
      <c r="DNR1" s="159"/>
      <c r="DNS1" s="159"/>
      <c r="DNT1" s="159"/>
      <c r="DPE1" s="159"/>
      <c r="DPS1" s="159"/>
      <c r="DPT1" s="159"/>
      <c r="DPU1" s="159"/>
      <c r="DPV1" s="159"/>
      <c r="DPW1" s="159"/>
      <c r="DPX1" s="159"/>
      <c r="DPY1" s="159"/>
      <c r="DPZ1" s="159"/>
      <c r="DQA1" s="159"/>
      <c r="DQB1" s="159"/>
      <c r="DQC1" s="159"/>
      <c r="DQD1" s="159"/>
      <c r="DQE1" s="159"/>
      <c r="DQF1" s="159"/>
      <c r="DQG1" s="159"/>
      <c r="DQH1" s="159"/>
      <c r="DQI1" s="159"/>
      <c r="DQJ1" s="159"/>
      <c r="DQK1" s="159"/>
      <c r="DQL1" s="159"/>
      <c r="DQM1" s="159"/>
      <c r="DQN1" s="159"/>
      <c r="DQO1" s="159"/>
      <c r="DQP1" s="159"/>
      <c r="DQQ1" s="159"/>
      <c r="DQR1" s="159"/>
      <c r="DQS1" s="159"/>
      <c r="DQT1" s="159"/>
      <c r="DQU1" s="159"/>
      <c r="DQV1" s="159"/>
      <c r="DQW1" s="159"/>
      <c r="DQX1" s="159"/>
      <c r="DQY1" s="159"/>
      <c r="DQZ1" s="159"/>
      <c r="DRA1" s="159"/>
      <c r="DRB1" s="159"/>
      <c r="DRC1" s="159"/>
      <c r="DRD1" s="159"/>
      <c r="DRE1" s="159"/>
      <c r="DRF1" s="159"/>
      <c r="DRG1" s="159"/>
      <c r="DRH1" s="159"/>
      <c r="DRI1" s="159"/>
      <c r="DRJ1" s="159"/>
      <c r="DRK1" s="159"/>
      <c r="DRL1" s="159"/>
      <c r="DRM1" s="159"/>
      <c r="DRN1" s="159"/>
      <c r="DRO1" s="159"/>
      <c r="DRP1" s="159"/>
      <c r="DRQ1" s="159"/>
      <c r="DRR1" s="159"/>
      <c r="DRS1" s="159"/>
      <c r="DRT1" s="159"/>
      <c r="DRU1" s="159"/>
      <c r="DRV1" s="159"/>
      <c r="DRW1" s="159"/>
      <c r="DRX1" s="159"/>
      <c r="DRY1" s="159"/>
      <c r="DRZ1" s="159"/>
      <c r="DSA1" s="159"/>
      <c r="DSB1" s="159"/>
      <c r="DSC1" s="159"/>
      <c r="DSD1" s="159"/>
      <c r="DSE1" s="159"/>
      <c r="DSF1" s="159"/>
      <c r="DSG1" s="159"/>
      <c r="DSH1" s="159"/>
      <c r="DSI1" s="159"/>
      <c r="DSJ1" s="159"/>
      <c r="DSK1" s="159"/>
      <c r="DSL1" s="159"/>
      <c r="DSM1" s="159"/>
      <c r="DSN1" s="159"/>
      <c r="DSO1" s="159"/>
      <c r="DSP1" s="159"/>
      <c r="DSQ1" s="159"/>
      <c r="DSR1" s="159"/>
      <c r="DSS1" s="159"/>
      <c r="DST1" s="159"/>
      <c r="DSU1" s="159"/>
      <c r="DSV1" s="159"/>
      <c r="DSW1" s="159"/>
      <c r="DSX1" s="159"/>
      <c r="DSY1" s="159"/>
      <c r="DSZ1" s="159"/>
      <c r="DTA1" s="159"/>
      <c r="DTB1" s="159"/>
      <c r="DTC1" s="159"/>
      <c r="DTD1" s="159"/>
      <c r="DTE1" s="159"/>
      <c r="DTF1" s="159"/>
      <c r="DTG1" s="159"/>
      <c r="DTH1" s="159"/>
      <c r="DTI1" s="159"/>
      <c r="DTJ1" s="159"/>
      <c r="DTK1" s="159"/>
      <c r="DTL1" s="159"/>
      <c r="DTM1" s="159"/>
      <c r="DTN1" s="159"/>
      <c r="DTO1" s="159"/>
      <c r="DTP1" s="159"/>
      <c r="DTQ1" s="159"/>
      <c r="DTR1" s="159"/>
      <c r="DTS1" s="159"/>
      <c r="DTT1" s="159"/>
      <c r="DTU1" s="159"/>
      <c r="DTV1" s="159"/>
      <c r="DTW1" s="159"/>
      <c r="DTX1" s="159"/>
      <c r="DTY1" s="159"/>
      <c r="DTZ1" s="159"/>
      <c r="DUA1" s="159"/>
      <c r="DUB1" s="159"/>
      <c r="DUC1" s="159"/>
      <c r="DUD1" s="159"/>
      <c r="DUE1" s="159"/>
      <c r="DUF1" s="159"/>
      <c r="DUG1" s="159"/>
      <c r="DUH1" s="159"/>
      <c r="DUI1" s="159"/>
      <c r="DUJ1" s="159"/>
      <c r="DUK1" s="159"/>
      <c r="DUL1" s="159"/>
      <c r="DUM1" s="159"/>
      <c r="DUN1" s="159"/>
      <c r="DUO1" s="159"/>
      <c r="DUP1" s="159"/>
      <c r="DUQ1" s="159"/>
      <c r="DUR1" s="159"/>
      <c r="DUS1" s="159"/>
      <c r="DUT1" s="159"/>
      <c r="DUU1" s="159"/>
      <c r="DUV1" s="159"/>
      <c r="DUW1" s="159"/>
      <c r="DUX1" s="159"/>
      <c r="DUY1" s="159"/>
      <c r="DUZ1" s="159"/>
      <c r="DVA1" s="159"/>
      <c r="DVB1" s="159"/>
      <c r="DVC1" s="159"/>
      <c r="DVD1" s="159"/>
      <c r="DVE1" s="159"/>
      <c r="DVF1" s="159"/>
      <c r="DVG1" s="159"/>
      <c r="DVH1" s="159"/>
      <c r="DVI1" s="159"/>
      <c r="DVJ1" s="159"/>
      <c r="DVK1" s="159"/>
      <c r="DVL1" s="159"/>
      <c r="DVM1" s="159"/>
      <c r="DVN1" s="159"/>
      <c r="DVO1" s="159"/>
      <c r="DVP1" s="159"/>
      <c r="DVQ1" s="159"/>
      <c r="DVR1" s="159"/>
      <c r="DVS1" s="159"/>
      <c r="DVT1" s="159"/>
      <c r="DVU1" s="159"/>
      <c r="DVV1" s="159"/>
      <c r="DVW1" s="159"/>
      <c r="DVX1" s="159"/>
      <c r="DVY1" s="159"/>
      <c r="DVZ1" s="159"/>
      <c r="DWA1" s="159"/>
      <c r="DWB1" s="159"/>
      <c r="DWC1" s="159"/>
      <c r="DWD1" s="159"/>
      <c r="DWE1" s="159"/>
      <c r="DWF1" s="159"/>
      <c r="DWG1" s="159"/>
      <c r="DWH1" s="159"/>
      <c r="DWI1" s="159"/>
      <c r="DWJ1" s="159"/>
      <c r="DWK1" s="159"/>
      <c r="DWL1" s="159"/>
      <c r="DWM1" s="159"/>
      <c r="DWN1" s="159"/>
      <c r="DWO1" s="159"/>
      <c r="DWP1" s="159"/>
      <c r="DWQ1" s="159"/>
      <c r="DWR1" s="159"/>
      <c r="DWS1" s="159"/>
      <c r="DWT1" s="159"/>
      <c r="DWU1" s="159"/>
      <c r="DWV1" s="159"/>
      <c r="DWW1" s="159"/>
      <c r="DWX1" s="159"/>
      <c r="DWY1" s="159"/>
      <c r="DWZ1" s="159"/>
      <c r="DXA1" s="159"/>
      <c r="DXB1" s="159"/>
      <c r="DXC1" s="159"/>
      <c r="DXD1" s="159"/>
      <c r="DXE1" s="159"/>
      <c r="DXF1" s="159"/>
      <c r="DXG1" s="159"/>
      <c r="DXH1" s="159"/>
      <c r="DXI1" s="159"/>
      <c r="DXJ1" s="159"/>
      <c r="DXK1" s="159"/>
      <c r="DXL1" s="159"/>
      <c r="DXM1" s="159"/>
      <c r="DXN1" s="159"/>
      <c r="DXO1" s="159"/>
      <c r="DXP1" s="159"/>
      <c r="DZA1" s="159"/>
      <c r="DZO1" s="159"/>
      <c r="DZP1" s="159"/>
      <c r="DZQ1" s="159"/>
      <c r="DZR1" s="159"/>
      <c r="DZS1" s="159"/>
      <c r="DZT1" s="159"/>
      <c r="DZU1" s="159"/>
      <c r="DZV1" s="159"/>
      <c r="DZW1" s="159"/>
      <c r="DZX1" s="159"/>
      <c r="DZY1" s="159"/>
      <c r="DZZ1" s="159"/>
      <c r="EAA1" s="159"/>
      <c r="EAB1" s="159"/>
      <c r="EAC1" s="159"/>
      <c r="EAD1" s="159"/>
      <c r="EAE1" s="159"/>
      <c r="EAF1" s="159"/>
      <c r="EAG1" s="159"/>
      <c r="EAH1" s="159"/>
      <c r="EAI1" s="159"/>
      <c r="EAJ1" s="159"/>
      <c r="EAK1" s="159"/>
      <c r="EAL1" s="159"/>
      <c r="EAM1" s="159"/>
      <c r="EAN1" s="159"/>
      <c r="EAO1" s="159"/>
      <c r="EAP1" s="159"/>
      <c r="EAQ1" s="159"/>
      <c r="EAR1" s="159"/>
      <c r="EAS1" s="159"/>
      <c r="EAT1" s="159"/>
      <c r="EAU1" s="159"/>
      <c r="EAV1" s="159"/>
      <c r="EAW1" s="159"/>
      <c r="EAX1" s="159"/>
      <c r="EAY1" s="159"/>
      <c r="EAZ1" s="159"/>
      <c r="EBA1" s="159"/>
      <c r="EBB1" s="159"/>
      <c r="EBC1" s="159"/>
      <c r="EBD1" s="159"/>
      <c r="EBE1" s="159"/>
      <c r="EBF1" s="159"/>
      <c r="EBG1" s="159"/>
      <c r="EBH1" s="159"/>
      <c r="EBI1" s="159"/>
      <c r="EBJ1" s="159"/>
      <c r="EBK1" s="159"/>
      <c r="EBL1" s="159"/>
      <c r="EBM1" s="159"/>
      <c r="EBN1" s="159"/>
      <c r="EBO1" s="159"/>
      <c r="EBP1" s="159"/>
      <c r="EBQ1" s="159"/>
      <c r="EBR1" s="159"/>
      <c r="EBS1" s="159"/>
      <c r="EBT1" s="159"/>
      <c r="EBU1" s="159"/>
      <c r="EBV1" s="159"/>
      <c r="EBW1" s="159"/>
      <c r="EBX1" s="159"/>
      <c r="EBY1" s="159"/>
      <c r="EBZ1" s="159"/>
      <c r="ECA1" s="159"/>
      <c r="ECB1" s="159"/>
      <c r="ECC1" s="159"/>
      <c r="ECD1" s="159"/>
      <c r="ECE1" s="159"/>
      <c r="ECF1" s="159"/>
      <c r="ECG1" s="159"/>
      <c r="ECH1" s="159"/>
      <c r="ECI1" s="159"/>
      <c r="ECJ1" s="159"/>
      <c r="ECK1" s="159"/>
      <c r="ECL1" s="159"/>
      <c r="ECM1" s="159"/>
      <c r="ECN1" s="159"/>
      <c r="ECO1" s="159"/>
      <c r="ECP1" s="159"/>
      <c r="ECQ1" s="159"/>
      <c r="ECR1" s="159"/>
      <c r="ECS1" s="159"/>
      <c r="ECT1" s="159"/>
      <c r="ECU1" s="159"/>
      <c r="ECV1" s="159"/>
      <c r="ECW1" s="159"/>
      <c r="ECX1" s="159"/>
      <c r="ECY1" s="159"/>
      <c r="ECZ1" s="159"/>
      <c r="EDA1" s="159"/>
      <c r="EDB1" s="159"/>
      <c r="EDC1" s="159"/>
      <c r="EDD1" s="159"/>
      <c r="EDE1" s="159"/>
      <c r="EDF1" s="159"/>
      <c r="EDG1" s="159"/>
      <c r="EDH1" s="159"/>
      <c r="EDI1" s="159"/>
      <c r="EDJ1" s="159"/>
      <c r="EDK1" s="159"/>
      <c r="EDL1" s="159"/>
      <c r="EDM1" s="159"/>
      <c r="EDN1" s="159"/>
      <c r="EDO1" s="159"/>
      <c r="EDP1" s="159"/>
      <c r="EDQ1" s="159"/>
      <c r="EDR1" s="159"/>
      <c r="EDS1" s="159"/>
      <c r="EDT1" s="159"/>
      <c r="EDU1" s="159"/>
      <c r="EDV1" s="159"/>
      <c r="EDW1" s="159"/>
      <c r="EDX1" s="159"/>
      <c r="EDY1" s="159"/>
      <c r="EDZ1" s="159"/>
      <c r="EEA1" s="159"/>
      <c r="EEB1" s="159"/>
      <c r="EEC1" s="159"/>
      <c r="EED1" s="159"/>
      <c r="EEE1" s="159"/>
      <c r="EEF1" s="159"/>
      <c r="EEG1" s="159"/>
      <c r="EEH1" s="159"/>
      <c r="EEI1" s="159"/>
      <c r="EEJ1" s="159"/>
      <c r="EEK1" s="159"/>
      <c r="EEL1" s="159"/>
      <c r="EEM1" s="159"/>
      <c r="EEN1" s="159"/>
      <c r="EEO1" s="159"/>
      <c r="EEP1" s="159"/>
      <c r="EEQ1" s="159"/>
      <c r="EER1" s="159"/>
      <c r="EES1" s="159"/>
      <c r="EET1" s="159"/>
      <c r="EEU1" s="159"/>
      <c r="EEV1" s="159"/>
      <c r="EEW1" s="159"/>
      <c r="EEX1" s="159"/>
      <c r="EEY1" s="159"/>
      <c r="EEZ1" s="159"/>
      <c r="EFA1" s="159"/>
      <c r="EFB1" s="159"/>
      <c r="EFC1" s="159"/>
      <c r="EFD1" s="159"/>
      <c r="EFE1" s="159"/>
      <c r="EFF1" s="159"/>
      <c r="EFG1" s="159"/>
      <c r="EFH1" s="159"/>
      <c r="EFI1" s="159"/>
      <c r="EFJ1" s="159"/>
      <c r="EFK1" s="159"/>
      <c r="EFL1" s="159"/>
      <c r="EFM1" s="159"/>
      <c r="EFN1" s="159"/>
      <c r="EFO1" s="159"/>
      <c r="EFP1" s="159"/>
      <c r="EFQ1" s="159"/>
      <c r="EFR1" s="159"/>
      <c r="EFS1" s="159"/>
      <c r="EFT1" s="159"/>
      <c r="EFU1" s="159"/>
      <c r="EFV1" s="159"/>
      <c r="EFW1" s="159"/>
      <c r="EFX1" s="159"/>
      <c r="EFY1" s="159"/>
      <c r="EFZ1" s="159"/>
      <c r="EGA1" s="159"/>
      <c r="EGB1" s="159"/>
      <c r="EGC1" s="159"/>
      <c r="EGD1" s="159"/>
      <c r="EGE1" s="159"/>
      <c r="EGF1" s="159"/>
      <c r="EGG1" s="159"/>
      <c r="EGH1" s="159"/>
      <c r="EGI1" s="159"/>
      <c r="EGJ1" s="159"/>
      <c r="EGK1" s="159"/>
      <c r="EGL1" s="159"/>
      <c r="EGM1" s="159"/>
      <c r="EGN1" s="159"/>
      <c r="EGO1" s="159"/>
      <c r="EGP1" s="159"/>
      <c r="EGQ1" s="159"/>
      <c r="EGR1" s="159"/>
      <c r="EGS1" s="159"/>
      <c r="EGT1" s="159"/>
      <c r="EGU1" s="159"/>
      <c r="EGV1" s="159"/>
      <c r="EGW1" s="159"/>
      <c r="EGX1" s="159"/>
      <c r="EGY1" s="159"/>
      <c r="EGZ1" s="159"/>
      <c r="EHA1" s="159"/>
      <c r="EHB1" s="159"/>
      <c r="EHC1" s="159"/>
      <c r="EHD1" s="159"/>
      <c r="EHE1" s="159"/>
      <c r="EHF1" s="159"/>
      <c r="EHG1" s="159"/>
      <c r="EHH1" s="159"/>
      <c r="EHI1" s="159"/>
      <c r="EHJ1" s="159"/>
      <c r="EHK1" s="159"/>
      <c r="EHL1" s="159"/>
      <c r="EIW1" s="159"/>
      <c r="EJK1" s="159"/>
      <c r="EJL1" s="159"/>
      <c r="EJM1" s="159"/>
      <c r="EJN1" s="159"/>
      <c r="EJO1" s="159"/>
      <c r="EJP1" s="159"/>
      <c r="EJQ1" s="159"/>
      <c r="EJR1" s="159"/>
      <c r="EJS1" s="159"/>
      <c r="EJT1" s="159"/>
      <c r="EJU1" s="159"/>
      <c r="EJV1" s="159"/>
      <c r="EJW1" s="159"/>
      <c r="EJX1" s="159"/>
      <c r="EJY1" s="159"/>
      <c r="EJZ1" s="159"/>
      <c r="EKA1" s="159"/>
      <c r="EKB1" s="159"/>
      <c r="EKC1" s="159"/>
      <c r="EKD1" s="159"/>
      <c r="EKE1" s="159"/>
      <c r="EKF1" s="159"/>
      <c r="EKG1" s="159"/>
      <c r="EKH1" s="159"/>
      <c r="EKI1" s="159"/>
      <c r="EKJ1" s="159"/>
      <c r="EKK1" s="159"/>
      <c r="EKL1" s="159"/>
      <c r="EKM1" s="159"/>
      <c r="EKN1" s="159"/>
      <c r="EKO1" s="159"/>
      <c r="EKP1" s="159"/>
      <c r="EKQ1" s="159"/>
      <c r="EKR1" s="159"/>
      <c r="EKS1" s="159"/>
      <c r="EKT1" s="159"/>
      <c r="EKU1" s="159"/>
      <c r="EKV1" s="159"/>
      <c r="EKW1" s="159"/>
      <c r="EKX1" s="159"/>
      <c r="EKY1" s="159"/>
      <c r="EKZ1" s="159"/>
      <c r="ELA1" s="159"/>
      <c r="ELB1" s="159"/>
      <c r="ELC1" s="159"/>
      <c r="ELD1" s="159"/>
      <c r="ELE1" s="159"/>
      <c r="ELF1" s="159"/>
      <c r="ELG1" s="159"/>
      <c r="ELH1" s="159"/>
      <c r="ELI1" s="159"/>
      <c r="ELJ1" s="159"/>
      <c r="ELK1" s="159"/>
      <c r="ELL1" s="159"/>
      <c r="ELM1" s="159"/>
      <c r="ELN1" s="159"/>
      <c r="ELO1" s="159"/>
      <c r="ELP1" s="159"/>
      <c r="ELQ1" s="159"/>
      <c r="ELR1" s="159"/>
      <c r="ELS1" s="159"/>
      <c r="ELT1" s="159"/>
      <c r="ELU1" s="159"/>
      <c r="ELV1" s="159"/>
      <c r="ELW1" s="159"/>
      <c r="ELX1" s="159"/>
      <c r="ELY1" s="159"/>
      <c r="ELZ1" s="159"/>
      <c r="EMA1" s="159"/>
      <c r="EMB1" s="159"/>
      <c r="EMC1" s="159"/>
      <c r="EMD1" s="159"/>
      <c r="EME1" s="159"/>
      <c r="EMF1" s="159"/>
      <c r="EMG1" s="159"/>
      <c r="EMH1" s="159"/>
      <c r="EMI1" s="159"/>
      <c r="EMJ1" s="159"/>
      <c r="EMK1" s="159"/>
      <c r="EML1" s="159"/>
      <c r="EMM1" s="159"/>
      <c r="EMN1" s="159"/>
      <c r="EMO1" s="159"/>
      <c r="EMP1" s="159"/>
      <c r="EMQ1" s="159"/>
      <c r="EMR1" s="159"/>
      <c r="EMS1" s="159"/>
      <c r="EMT1" s="159"/>
      <c r="EMU1" s="159"/>
      <c r="EMV1" s="159"/>
      <c r="EMW1" s="159"/>
      <c r="EMX1" s="159"/>
      <c r="EMY1" s="159"/>
      <c r="EMZ1" s="159"/>
      <c r="ENA1" s="159"/>
      <c r="ENB1" s="159"/>
      <c r="ENC1" s="159"/>
      <c r="END1" s="159"/>
      <c r="ENE1" s="159"/>
      <c r="ENF1" s="159"/>
      <c r="ENG1" s="159"/>
      <c r="ENH1" s="159"/>
      <c r="ENI1" s="159"/>
      <c r="ENJ1" s="159"/>
      <c r="ENK1" s="159"/>
      <c r="ENL1" s="159"/>
      <c r="ENM1" s="159"/>
      <c r="ENN1" s="159"/>
      <c r="ENO1" s="159"/>
      <c r="ENP1" s="159"/>
      <c r="ENQ1" s="159"/>
      <c r="ENR1" s="159"/>
      <c r="ENS1" s="159"/>
      <c r="ENT1" s="159"/>
      <c r="ENU1" s="159"/>
      <c r="ENV1" s="159"/>
      <c r="ENW1" s="159"/>
      <c r="ENX1" s="159"/>
      <c r="ENY1" s="159"/>
      <c r="ENZ1" s="159"/>
      <c r="EOA1" s="159"/>
      <c r="EOB1" s="159"/>
      <c r="EOC1" s="159"/>
      <c r="EOD1" s="159"/>
      <c r="EOE1" s="159"/>
      <c r="EOF1" s="159"/>
      <c r="EOG1" s="159"/>
      <c r="EOH1" s="159"/>
      <c r="EOI1" s="159"/>
      <c r="EOJ1" s="159"/>
      <c r="EOK1" s="159"/>
      <c r="EOL1" s="159"/>
      <c r="EOM1" s="159"/>
      <c r="EON1" s="159"/>
      <c r="EOO1" s="159"/>
      <c r="EOP1" s="159"/>
      <c r="EOQ1" s="159"/>
      <c r="EOR1" s="159"/>
      <c r="EOS1" s="159"/>
      <c r="EOT1" s="159"/>
      <c r="EOU1" s="159"/>
      <c r="EOV1" s="159"/>
      <c r="EOW1" s="159"/>
      <c r="EOX1" s="159"/>
      <c r="EOY1" s="159"/>
      <c r="EOZ1" s="159"/>
      <c r="EPA1" s="159"/>
      <c r="EPB1" s="159"/>
      <c r="EPC1" s="159"/>
      <c r="EPD1" s="159"/>
      <c r="EPE1" s="159"/>
      <c r="EPF1" s="159"/>
      <c r="EPG1" s="159"/>
      <c r="EPH1" s="159"/>
      <c r="EPI1" s="159"/>
      <c r="EPJ1" s="159"/>
      <c r="EPK1" s="159"/>
      <c r="EPL1" s="159"/>
      <c r="EPM1" s="159"/>
      <c r="EPN1" s="159"/>
      <c r="EPO1" s="159"/>
      <c r="EPP1" s="159"/>
      <c r="EPQ1" s="159"/>
      <c r="EPR1" s="159"/>
      <c r="EPS1" s="159"/>
      <c r="EPT1" s="159"/>
      <c r="EPU1" s="159"/>
      <c r="EPV1" s="159"/>
      <c r="EPW1" s="159"/>
      <c r="EPX1" s="159"/>
      <c r="EPY1" s="159"/>
      <c r="EPZ1" s="159"/>
      <c r="EQA1" s="159"/>
      <c r="EQB1" s="159"/>
      <c r="EQC1" s="159"/>
      <c r="EQD1" s="159"/>
      <c r="EQE1" s="159"/>
      <c r="EQF1" s="159"/>
      <c r="EQG1" s="159"/>
      <c r="EQH1" s="159"/>
      <c r="EQI1" s="159"/>
      <c r="EQJ1" s="159"/>
      <c r="EQK1" s="159"/>
      <c r="EQL1" s="159"/>
      <c r="EQM1" s="159"/>
      <c r="EQN1" s="159"/>
      <c r="EQO1" s="159"/>
      <c r="EQP1" s="159"/>
      <c r="EQQ1" s="159"/>
      <c r="EQR1" s="159"/>
      <c r="EQS1" s="159"/>
      <c r="EQT1" s="159"/>
      <c r="EQU1" s="159"/>
      <c r="EQV1" s="159"/>
      <c r="EQW1" s="159"/>
      <c r="EQX1" s="159"/>
      <c r="EQY1" s="159"/>
      <c r="EQZ1" s="159"/>
      <c r="ERA1" s="159"/>
      <c r="ERB1" s="159"/>
      <c r="ERC1" s="159"/>
      <c r="ERD1" s="159"/>
      <c r="ERE1" s="159"/>
      <c r="ERF1" s="159"/>
      <c r="ERG1" s="159"/>
      <c r="ERH1" s="159"/>
      <c r="ESS1" s="159"/>
      <c r="ETG1" s="159"/>
      <c r="ETH1" s="159"/>
      <c r="ETI1" s="159"/>
      <c r="ETJ1" s="159"/>
      <c r="ETK1" s="159"/>
      <c r="ETL1" s="159"/>
      <c r="ETM1" s="159"/>
      <c r="ETN1" s="159"/>
      <c r="ETO1" s="159"/>
      <c r="ETP1" s="159"/>
      <c r="ETQ1" s="159"/>
      <c r="ETR1" s="159"/>
      <c r="ETS1" s="159"/>
      <c r="ETT1" s="159"/>
      <c r="ETU1" s="159"/>
      <c r="ETV1" s="159"/>
      <c r="ETW1" s="159"/>
      <c r="ETX1" s="159"/>
      <c r="ETY1" s="159"/>
      <c r="ETZ1" s="159"/>
      <c r="EUA1" s="159"/>
      <c r="EUB1" s="159"/>
      <c r="EUC1" s="159"/>
      <c r="EUD1" s="159"/>
      <c r="EUE1" s="159"/>
      <c r="EUF1" s="159"/>
      <c r="EUG1" s="159"/>
      <c r="EUH1" s="159"/>
      <c r="EUI1" s="159"/>
      <c r="EUJ1" s="159"/>
      <c r="EUK1" s="159"/>
      <c r="EUL1" s="159"/>
      <c r="EUM1" s="159"/>
      <c r="EUN1" s="159"/>
      <c r="EUO1" s="159"/>
      <c r="EUP1" s="159"/>
      <c r="EUQ1" s="159"/>
      <c r="EUR1" s="159"/>
      <c r="EUS1" s="159"/>
      <c r="EUT1" s="159"/>
      <c r="EUU1" s="159"/>
      <c r="EUV1" s="159"/>
      <c r="EUW1" s="159"/>
      <c r="EUX1" s="159"/>
      <c r="EUY1" s="159"/>
      <c r="EUZ1" s="159"/>
      <c r="EVA1" s="159"/>
      <c r="EVB1" s="159"/>
      <c r="EVC1" s="159"/>
      <c r="EVD1" s="159"/>
      <c r="EVE1" s="159"/>
      <c r="EVF1" s="159"/>
      <c r="EVG1" s="159"/>
      <c r="EVH1" s="159"/>
      <c r="EVI1" s="159"/>
      <c r="EVJ1" s="159"/>
      <c r="EVK1" s="159"/>
      <c r="EVL1" s="159"/>
      <c r="EVM1" s="159"/>
      <c r="EVN1" s="159"/>
      <c r="EVO1" s="159"/>
      <c r="EVP1" s="159"/>
      <c r="EVQ1" s="159"/>
      <c r="EVR1" s="159"/>
      <c r="EVS1" s="159"/>
      <c r="EVT1" s="159"/>
      <c r="EVU1" s="159"/>
      <c r="EVV1" s="159"/>
      <c r="EVW1" s="159"/>
      <c r="EVX1" s="159"/>
      <c r="EVY1" s="159"/>
      <c r="EVZ1" s="159"/>
      <c r="EWA1" s="159"/>
      <c r="EWB1" s="159"/>
      <c r="EWC1" s="159"/>
      <c r="EWD1" s="159"/>
      <c r="EWE1" s="159"/>
      <c r="EWF1" s="159"/>
      <c r="EWG1" s="159"/>
      <c r="EWH1" s="159"/>
      <c r="EWI1" s="159"/>
      <c r="EWJ1" s="159"/>
      <c r="EWK1" s="159"/>
      <c r="EWL1" s="159"/>
      <c r="EWM1" s="159"/>
      <c r="EWN1" s="159"/>
      <c r="EWO1" s="159"/>
      <c r="EWP1" s="159"/>
      <c r="EWQ1" s="159"/>
      <c r="EWR1" s="159"/>
      <c r="EWS1" s="159"/>
      <c r="EWT1" s="159"/>
      <c r="EWU1" s="159"/>
      <c r="EWV1" s="159"/>
      <c r="EWW1" s="159"/>
      <c r="EWX1" s="159"/>
      <c r="EWY1" s="159"/>
      <c r="EWZ1" s="159"/>
      <c r="EXA1" s="159"/>
      <c r="EXB1" s="159"/>
      <c r="EXC1" s="159"/>
      <c r="EXD1" s="159"/>
      <c r="EXE1" s="159"/>
      <c r="EXF1" s="159"/>
      <c r="EXG1" s="159"/>
      <c r="EXH1" s="159"/>
      <c r="EXI1" s="159"/>
      <c r="EXJ1" s="159"/>
      <c r="EXK1" s="159"/>
      <c r="EXL1" s="159"/>
      <c r="EXM1" s="159"/>
      <c r="EXN1" s="159"/>
      <c r="EXO1" s="159"/>
      <c r="EXP1" s="159"/>
      <c r="EXQ1" s="159"/>
      <c r="EXR1" s="159"/>
      <c r="EXS1" s="159"/>
      <c r="EXT1" s="159"/>
      <c r="EXU1" s="159"/>
      <c r="EXV1" s="159"/>
      <c r="EXW1" s="159"/>
      <c r="EXX1" s="159"/>
      <c r="EXY1" s="159"/>
      <c r="EXZ1" s="159"/>
      <c r="EYA1" s="159"/>
      <c r="EYB1" s="159"/>
      <c r="EYC1" s="159"/>
      <c r="EYD1" s="159"/>
      <c r="EYE1" s="159"/>
      <c r="EYF1" s="159"/>
      <c r="EYG1" s="159"/>
      <c r="EYH1" s="159"/>
      <c r="EYI1" s="159"/>
      <c r="EYJ1" s="159"/>
      <c r="EYK1" s="159"/>
      <c r="EYL1" s="159"/>
      <c r="EYM1" s="159"/>
      <c r="EYN1" s="159"/>
      <c r="EYO1" s="159"/>
      <c r="EYP1" s="159"/>
      <c r="EYQ1" s="159"/>
      <c r="EYR1" s="159"/>
      <c r="EYS1" s="159"/>
      <c r="EYT1" s="159"/>
      <c r="EYU1" s="159"/>
      <c r="EYV1" s="159"/>
      <c r="EYW1" s="159"/>
      <c r="EYX1" s="159"/>
      <c r="EYY1" s="159"/>
      <c r="EYZ1" s="159"/>
      <c r="EZA1" s="159"/>
      <c r="EZB1" s="159"/>
      <c r="EZC1" s="159"/>
      <c r="EZD1" s="159"/>
      <c r="EZE1" s="159"/>
      <c r="EZF1" s="159"/>
      <c r="EZG1" s="159"/>
      <c r="EZH1" s="159"/>
      <c r="EZI1" s="159"/>
      <c r="EZJ1" s="159"/>
      <c r="EZK1" s="159"/>
      <c r="EZL1" s="159"/>
      <c r="EZM1" s="159"/>
      <c r="EZN1" s="159"/>
      <c r="EZO1" s="159"/>
      <c r="EZP1" s="159"/>
      <c r="EZQ1" s="159"/>
      <c r="EZR1" s="159"/>
      <c r="EZS1" s="159"/>
      <c r="EZT1" s="159"/>
      <c r="EZU1" s="159"/>
      <c r="EZV1" s="159"/>
      <c r="EZW1" s="159"/>
      <c r="EZX1" s="159"/>
      <c r="EZY1" s="159"/>
      <c r="EZZ1" s="159"/>
      <c r="FAA1" s="159"/>
      <c r="FAB1" s="159"/>
      <c r="FAC1" s="159"/>
      <c r="FAD1" s="159"/>
      <c r="FAE1" s="159"/>
      <c r="FAF1" s="159"/>
      <c r="FAG1" s="159"/>
      <c r="FAH1" s="159"/>
      <c r="FAI1" s="159"/>
      <c r="FAJ1" s="159"/>
      <c r="FAK1" s="159"/>
      <c r="FAL1" s="159"/>
      <c r="FAM1" s="159"/>
      <c r="FAN1" s="159"/>
      <c r="FAO1" s="159"/>
      <c r="FAP1" s="159"/>
      <c r="FAQ1" s="159"/>
      <c r="FAR1" s="159"/>
      <c r="FAS1" s="159"/>
      <c r="FAT1" s="159"/>
      <c r="FAU1" s="159"/>
      <c r="FAV1" s="159"/>
      <c r="FAW1" s="159"/>
      <c r="FAX1" s="159"/>
      <c r="FAY1" s="159"/>
      <c r="FAZ1" s="159"/>
      <c r="FBA1" s="159"/>
      <c r="FBB1" s="159"/>
      <c r="FBC1" s="159"/>
      <c r="FBD1" s="159"/>
      <c r="FCO1" s="159"/>
      <c r="FDC1" s="159"/>
      <c r="FDD1" s="159"/>
      <c r="FDE1" s="159"/>
      <c r="FDF1" s="159"/>
      <c r="FDG1" s="159"/>
      <c r="FDH1" s="159"/>
      <c r="FDI1" s="159"/>
      <c r="FDJ1" s="159"/>
      <c r="FDK1" s="159"/>
      <c r="FDL1" s="159"/>
      <c r="FDM1" s="159"/>
      <c r="FDN1" s="159"/>
      <c r="FDO1" s="159"/>
      <c r="FDP1" s="159"/>
      <c r="FDQ1" s="159"/>
      <c r="FDR1" s="159"/>
      <c r="FDS1" s="159"/>
      <c r="FDT1" s="159"/>
      <c r="FDU1" s="159"/>
      <c r="FDV1" s="159"/>
      <c r="FDW1" s="159"/>
      <c r="FDX1" s="159"/>
      <c r="FDY1" s="159"/>
      <c r="FDZ1" s="159"/>
      <c r="FEA1" s="159"/>
      <c r="FEB1" s="159"/>
      <c r="FEC1" s="159"/>
      <c r="FED1" s="159"/>
      <c r="FEE1" s="159"/>
      <c r="FEF1" s="159"/>
      <c r="FEG1" s="159"/>
      <c r="FEH1" s="159"/>
      <c r="FEI1" s="159"/>
      <c r="FEJ1" s="159"/>
      <c r="FEK1" s="159"/>
      <c r="FEL1" s="159"/>
      <c r="FEM1" s="159"/>
      <c r="FEN1" s="159"/>
      <c r="FEO1" s="159"/>
      <c r="FEP1" s="159"/>
      <c r="FEQ1" s="159"/>
      <c r="FER1" s="159"/>
      <c r="FES1" s="159"/>
      <c r="FET1" s="159"/>
      <c r="FEU1" s="159"/>
      <c r="FEV1" s="159"/>
      <c r="FEW1" s="159"/>
      <c r="FEX1" s="159"/>
      <c r="FEY1" s="159"/>
      <c r="FEZ1" s="159"/>
      <c r="FFA1" s="159"/>
      <c r="FFB1" s="159"/>
      <c r="FFC1" s="159"/>
      <c r="FFD1" s="159"/>
      <c r="FFE1" s="159"/>
      <c r="FFF1" s="159"/>
      <c r="FFG1" s="159"/>
      <c r="FFH1" s="159"/>
      <c r="FFI1" s="159"/>
      <c r="FFJ1" s="159"/>
      <c r="FFK1" s="159"/>
      <c r="FFL1" s="159"/>
      <c r="FFM1" s="159"/>
      <c r="FFN1" s="159"/>
      <c r="FFO1" s="159"/>
      <c r="FFP1" s="159"/>
      <c r="FFQ1" s="159"/>
      <c r="FFR1" s="159"/>
      <c r="FFS1" s="159"/>
      <c r="FFT1" s="159"/>
      <c r="FFU1" s="159"/>
      <c r="FFV1" s="159"/>
      <c r="FFW1" s="159"/>
      <c r="FFX1" s="159"/>
      <c r="FFY1" s="159"/>
      <c r="FFZ1" s="159"/>
      <c r="FGA1" s="159"/>
      <c r="FGB1" s="159"/>
      <c r="FGC1" s="159"/>
      <c r="FGD1" s="159"/>
      <c r="FGE1" s="159"/>
      <c r="FGF1" s="159"/>
      <c r="FGG1" s="159"/>
      <c r="FGH1" s="159"/>
      <c r="FGI1" s="159"/>
      <c r="FGJ1" s="159"/>
      <c r="FGK1" s="159"/>
      <c r="FGL1" s="159"/>
      <c r="FGM1" s="159"/>
      <c r="FGN1" s="159"/>
      <c r="FGO1" s="159"/>
      <c r="FGP1" s="159"/>
      <c r="FGQ1" s="159"/>
      <c r="FGR1" s="159"/>
      <c r="FGS1" s="159"/>
      <c r="FGT1" s="159"/>
      <c r="FGU1" s="159"/>
      <c r="FGV1" s="159"/>
      <c r="FGW1" s="159"/>
      <c r="FGX1" s="159"/>
      <c r="FGY1" s="159"/>
      <c r="FGZ1" s="159"/>
      <c r="FHA1" s="159"/>
      <c r="FHB1" s="159"/>
      <c r="FHC1" s="159"/>
      <c r="FHD1" s="159"/>
      <c r="FHE1" s="159"/>
      <c r="FHF1" s="159"/>
      <c r="FHG1" s="159"/>
      <c r="FHH1" s="159"/>
      <c r="FHI1" s="159"/>
      <c r="FHJ1" s="159"/>
      <c r="FHK1" s="159"/>
      <c r="FHL1" s="159"/>
      <c r="FHM1" s="159"/>
      <c r="FHN1" s="159"/>
      <c r="FHO1" s="159"/>
      <c r="FHP1" s="159"/>
      <c r="FHQ1" s="159"/>
      <c r="FHR1" s="159"/>
      <c r="FHS1" s="159"/>
      <c r="FHT1" s="159"/>
      <c r="FHU1" s="159"/>
      <c r="FHV1" s="159"/>
      <c r="FHW1" s="159"/>
      <c r="FHX1" s="159"/>
      <c r="FHY1" s="159"/>
      <c r="FHZ1" s="159"/>
      <c r="FIA1" s="159"/>
      <c r="FIB1" s="159"/>
      <c r="FIC1" s="159"/>
      <c r="FID1" s="159"/>
      <c r="FIE1" s="159"/>
      <c r="FIF1" s="159"/>
      <c r="FIG1" s="159"/>
      <c r="FIH1" s="159"/>
      <c r="FII1" s="159"/>
      <c r="FIJ1" s="159"/>
      <c r="FIK1" s="159"/>
      <c r="FIL1" s="159"/>
      <c r="FIM1" s="159"/>
      <c r="FIN1" s="159"/>
      <c r="FIO1" s="159"/>
      <c r="FIP1" s="159"/>
      <c r="FIQ1" s="159"/>
      <c r="FIR1" s="159"/>
      <c r="FIS1" s="159"/>
      <c r="FIT1" s="159"/>
      <c r="FIU1" s="159"/>
      <c r="FIV1" s="159"/>
      <c r="FIW1" s="159"/>
      <c r="FIX1" s="159"/>
      <c r="FIY1" s="159"/>
      <c r="FIZ1" s="159"/>
      <c r="FJA1" s="159"/>
      <c r="FJB1" s="159"/>
      <c r="FJC1" s="159"/>
      <c r="FJD1" s="159"/>
      <c r="FJE1" s="159"/>
      <c r="FJF1" s="159"/>
      <c r="FJG1" s="159"/>
      <c r="FJH1" s="159"/>
      <c r="FJI1" s="159"/>
      <c r="FJJ1" s="159"/>
      <c r="FJK1" s="159"/>
      <c r="FJL1" s="159"/>
      <c r="FJM1" s="159"/>
      <c r="FJN1" s="159"/>
      <c r="FJO1" s="159"/>
      <c r="FJP1" s="159"/>
      <c r="FJQ1" s="159"/>
      <c r="FJR1" s="159"/>
      <c r="FJS1" s="159"/>
      <c r="FJT1" s="159"/>
      <c r="FJU1" s="159"/>
      <c r="FJV1" s="159"/>
      <c r="FJW1" s="159"/>
      <c r="FJX1" s="159"/>
      <c r="FJY1" s="159"/>
      <c r="FJZ1" s="159"/>
      <c r="FKA1" s="159"/>
      <c r="FKB1" s="159"/>
      <c r="FKC1" s="159"/>
      <c r="FKD1" s="159"/>
      <c r="FKE1" s="159"/>
      <c r="FKF1" s="159"/>
      <c r="FKG1" s="159"/>
      <c r="FKH1" s="159"/>
      <c r="FKI1" s="159"/>
      <c r="FKJ1" s="159"/>
      <c r="FKK1" s="159"/>
      <c r="FKL1" s="159"/>
      <c r="FKM1" s="159"/>
      <c r="FKN1" s="159"/>
      <c r="FKO1" s="159"/>
      <c r="FKP1" s="159"/>
      <c r="FKQ1" s="159"/>
      <c r="FKR1" s="159"/>
      <c r="FKS1" s="159"/>
      <c r="FKT1" s="159"/>
      <c r="FKU1" s="159"/>
      <c r="FKV1" s="159"/>
      <c r="FKW1" s="159"/>
      <c r="FKX1" s="159"/>
      <c r="FKY1" s="159"/>
      <c r="FKZ1" s="159"/>
      <c r="FMK1" s="159"/>
      <c r="FMY1" s="159"/>
      <c r="FMZ1" s="159"/>
      <c r="FNA1" s="159"/>
      <c r="FNB1" s="159"/>
      <c r="FNC1" s="159"/>
      <c r="FND1" s="159"/>
      <c r="FNE1" s="159"/>
      <c r="FNF1" s="159"/>
      <c r="FNG1" s="159"/>
      <c r="FNH1" s="159"/>
      <c r="FNI1" s="159"/>
      <c r="FNJ1" s="159"/>
      <c r="FNK1" s="159"/>
      <c r="FNL1" s="159"/>
      <c r="FNM1" s="159"/>
      <c r="FNN1" s="159"/>
      <c r="FNO1" s="159"/>
      <c r="FNP1" s="159"/>
      <c r="FNQ1" s="159"/>
      <c r="FNR1" s="159"/>
      <c r="FNS1" s="159"/>
      <c r="FNT1" s="159"/>
      <c r="FNU1" s="159"/>
      <c r="FNV1" s="159"/>
      <c r="FNW1" s="159"/>
      <c r="FNX1" s="159"/>
      <c r="FNY1" s="159"/>
      <c r="FNZ1" s="159"/>
      <c r="FOA1" s="159"/>
      <c r="FOB1" s="159"/>
      <c r="FOC1" s="159"/>
      <c r="FOD1" s="159"/>
      <c r="FOE1" s="159"/>
      <c r="FOF1" s="159"/>
      <c r="FOG1" s="159"/>
      <c r="FOH1" s="159"/>
      <c r="FOI1" s="159"/>
      <c r="FOJ1" s="159"/>
      <c r="FOK1" s="159"/>
      <c r="FOL1" s="159"/>
      <c r="FOM1" s="159"/>
      <c r="FON1" s="159"/>
      <c r="FOO1" s="159"/>
      <c r="FOP1" s="159"/>
      <c r="FOQ1" s="159"/>
      <c r="FOR1" s="159"/>
      <c r="FOS1" s="159"/>
      <c r="FOT1" s="159"/>
      <c r="FOU1" s="159"/>
      <c r="FOV1" s="159"/>
      <c r="FOW1" s="159"/>
      <c r="FOX1" s="159"/>
      <c r="FOY1" s="159"/>
      <c r="FOZ1" s="159"/>
      <c r="FPA1" s="159"/>
      <c r="FPB1" s="159"/>
      <c r="FPC1" s="159"/>
      <c r="FPD1" s="159"/>
      <c r="FPE1" s="159"/>
      <c r="FPF1" s="159"/>
      <c r="FPG1" s="159"/>
      <c r="FPH1" s="159"/>
      <c r="FPI1" s="159"/>
      <c r="FPJ1" s="159"/>
      <c r="FPK1" s="159"/>
      <c r="FPL1" s="159"/>
      <c r="FPM1" s="159"/>
      <c r="FPN1" s="159"/>
      <c r="FPO1" s="159"/>
      <c r="FPP1" s="159"/>
      <c r="FPQ1" s="159"/>
      <c r="FPR1" s="159"/>
      <c r="FPS1" s="159"/>
      <c r="FPT1" s="159"/>
      <c r="FPU1" s="159"/>
      <c r="FPV1" s="159"/>
      <c r="FPW1" s="159"/>
      <c r="FPX1" s="159"/>
      <c r="FPY1" s="159"/>
      <c r="FPZ1" s="159"/>
      <c r="FQA1" s="159"/>
      <c r="FQB1" s="159"/>
      <c r="FQC1" s="159"/>
      <c r="FQD1" s="159"/>
      <c r="FQE1" s="159"/>
      <c r="FQF1" s="159"/>
      <c r="FQG1" s="159"/>
      <c r="FQH1" s="159"/>
      <c r="FQI1" s="159"/>
      <c r="FQJ1" s="159"/>
      <c r="FQK1" s="159"/>
      <c r="FQL1" s="159"/>
      <c r="FQM1" s="159"/>
      <c r="FQN1" s="159"/>
      <c r="FQO1" s="159"/>
      <c r="FQP1" s="159"/>
      <c r="FQQ1" s="159"/>
      <c r="FQR1" s="159"/>
      <c r="FQS1" s="159"/>
      <c r="FQT1" s="159"/>
      <c r="FQU1" s="159"/>
      <c r="FQV1" s="159"/>
      <c r="FQW1" s="159"/>
      <c r="FQX1" s="159"/>
      <c r="FQY1" s="159"/>
      <c r="FQZ1" s="159"/>
      <c r="FRA1" s="159"/>
      <c r="FRB1" s="159"/>
      <c r="FRC1" s="159"/>
      <c r="FRD1" s="159"/>
      <c r="FRE1" s="159"/>
      <c r="FRF1" s="159"/>
      <c r="FRG1" s="159"/>
      <c r="FRH1" s="159"/>
      <c r="FRI1" s="159"/>
      <c r="FRJ1" s="159"/>
      <c r="FRK1" s="159"/>
      <c r="FRL1" s="159"/>
      <c r="FRM1" s="159"/>
      <c r="FRN1" s="159"/>
      <c r="FRO1" s="159"/>
      <c r="FRP1" s="159"/>
      <c r="FRQ1" s="159"/>
      <c r="FRR1" s="159"/>
      <c r="FRS1" s="159"/>
      <c r="FRT1" s="159"/>
      <c r="FRU1" s="159"/>
      <c r="FRV1" s="159"/>
      <c r="FRW1" s="159"/>
      <c r="FRX1" s="159"/>
      <c r="FRY1" s="159"/>
      <c r="FRZ1" s="159"/>
      <c r="FSA1" s="159"/>
      <c r="FSB1" s="159"/>
      <c r="FSC1" s="159"/>
      <c r="FSD1" s="159"/>
      <c r="FSE1" s="159"/>
      <c r="FSF1" s="159"/>
      <c r="FSG1" s="159"/>
      <c r="FSH1" s="159"/>
      <c r="FSI1" s="159"/>
      <c r="FSJ1" s="159"/>
      <c r="FSK1" s="159"/>
      <c r="FSL1" s="159"/>
      <c r="FSM1" s="159"/>
      <c r="FSN1" s="159"/>
      <c r="FSO1" s="159"/>
      <c r="FSP1" s="159"/>
      <c r="FSQ1" s="159"/>
      <c r="FSR1" s="159"/>
      <c r="FSS1" s="159"/>
      <c r="FST1" s="159"/>
      <c r="FSU1" s="159"/>
      <c r="FSV1" s="159"/>
      <c r="FSW1" s="159"/>
      <c r="FSX1" s="159"/>
      <c r="FSY1" s="159"/>
      <c r="FSZ1" s="159"/>
      <c r="FTA1" s="159"/>
      <c r="FTB1" s="159"/>
      <c r="FTC1" s="159"/>
      <c r="FTD1" s="159"/>
      <c r="FTE1" s="159"/>
      <c r="FTF1" s="159"/>
      <c r="FTG1" s="159"/>
      <c r="FTH1" s="159"/>
      <c r="FTI1" s="159"/>
      <c r="FTJ1" s="159"/>
      <c r="FTK1" s="159"/>
      <c r="FTL1" s="159"/>
      <c r="FTM1" s="159"/>
      <c r="FTN1" s="159"/>
      <c r="FTO1" s="159"/>
      <c r="FTP1" s="159"/>
      <c r="FTQ1" s="159"/>
      <c r="FTR1" s="159"/>
      <c r="FTS1" s="159"/>
      <c r="FTT1" s="159"/>
      <c r="FTU1" s="159"/>
      <c r="FTV1" s="159"/>
      <c r="FTW1" s="159"/>
      <c r="FTX1" s="159"/>
      <c r="FTY1" s="159"/>
      <c r="FTZ1" s="159"/>
      <c r="FUA1" s="159"/>
      <c r="FUB1" s="159"/>
      <c r="FUC1" s="159"/>
      <c r="FUD1" s="159"/>
      <c r="FUE1" s="159"/>
      <c r="FUF1" s="159"/>
      <c r="FUG1" s="159"/>
      <c r="FUH1" s="159"/>
      <c r="FUI1" s="159"/>
      <c r="FUJ1" s="159"/>
      <c r="FUK1" s="159"/>
      <c r="FUL1" s="159"/>
      <c r="FUM1" s="159"/>
      <c r="FUN1" s="159"/>
      <c r="FUO1" s="159"/>
      <c r="FUP1" s="159"/>
      <c r="FUQ1" s="159"/>
      <c r="FUR1" s="159"/>
      <c r="FUS1" s="159"/>
      <c r="FUT1" s="159"/>
      <c r="FUU1" s="159"/>
      <c r="FUV1" s="159"/>
      <c r="FWG1" s="159"/>
      <c r="FWU1" s="159"/>
      <c r="FWV1" s="159"/>
      <c r="FWW1" s="159"/>
      <c r="FWX1" s="159"/>
      <c r="FWY1" s="159"/>
      <c r="FWZ1" s="159"/>
      <c r="FXA1" s="159"/>
      <c r="FXB1" s="159"/>
      <c r="FXC1" s="159"/>
      <c r="FXD1" s="159"/>
      <c r="FXE1" s="159"/>
      <c r="FXF1" s="159"/>
      <c r="FXG1" s="159"/>
      <c r="FXH1" s="159"/>
      <c r="FXI1" s="159"/>
      <c r="FXJ1" s="159"/>
      <c r="FXK1" s="159"/>
      <c r="FXL1" s="159"/>
      <c r="FXM1" s="159"/>
      <c r="FXN1" s="159"/>
      <c r="FXO1" s="159"/>
      <c r="FXP1" s="159"/>
      <c r="FXQ1" s="159"/>
      <c r="FXR1" s="159"/>
      <c r="FXS1" s="159"/>
      <c r="FXT1" s="159"/>
      <c r="FXU1" s="159"/>
      <c r="FXV1" s="159"/>
      <c r="FXW1" s="159"/>
      <c r="FXX1" s="159"/>
      <c r="FXY1" s="159"/>
      <c r="FXZ1" s="159"/>
      <c r="FYA1" s="159"/>
      <c r="FYB1" s="159"/>
      <c r="FYC1" s="159"/>
      <c r="FYD1" s="159"/>
      <c r="FYE1" s="159"/>
      <c r="FYF1" s="159"/>
      <c r="FYG1" s="159"/>
      <c r="FYH1" s="159"/>
      <c r="FYI1" s="159"/>
      <c r="FYJ1" s="159"/>
      <c r="FYK1" s="159"/>
      <c r="FYL1" s="159"/>
      <c r="FYM1" s="159"/>
      <c r="FYN1" s="159"/>
      <c r="FYO1" s="159"/>
      <c r="FYP1" s="159"/>
      <c r="FYQ1" s="159"/>
      <c r="FYR1" s="159"/>
      <c r="FYS1" s="159"/>
      <c r="FYT1" s="159"/>
      <c r="FYU1" s="159"/>
      <c r="FYV1" s="159"/>
      <c r="FYW1" s="159"/>
      <c r="FYX1" s="159"/>
      <c r="FYY1" s="159"/>
      <c r="FYZ1" s="159"/>
      <c r="FZA1" s="159"/>
      <c r="FZB1" s="159"/>
      <c r="FZC1" s="159"/>
      <c r="FZD1" s="159"/>
      <c r="FZE1" s="159"/>
      <c r="FZF1" s="159"/>
      <c r="FZG1" s="159"/>
      <c r="FZH1" s="159"/>
      <c r="FZI1" s="159"/>
      <c r="FZJ1" s="159"/>
      <c r="FZK1" s="159"/>
      <c r="FZL1" s="159"/>
      <c r="FZM1" s="159"/>
      <c r="FZN1" s="159"/>
      <c r="FZO1" s="159"/>
      <c r="FZP1" s="159"/>
      <c r="FZQ1" s="159"/>
      <c r="FZR1" s="159"/>
      <c r="FZS1" s="159"/>
      <c r="FZT1" s="159"/>
      <c r="FZU1" s="159"/>
      <c r="FZV1" s="159"/>
      <c r="FZW1" s="159"/>
      <c r="FZX1" s="159"/>
      <c r="FZY1" s="159"/>
      <c r="FZZ1" s="159"/>
      <c r="GAA1" s="159"/>
      <c r="GAB1" s="159"/>
      <c r="GAC1" s="159"/>
      <c r="GAD1" s="159"/>
      <c r="GAE1" s="159"/>
      <c r="GAF1" s="159"/>
      <c r="GAG1" s="159"/>
      <c r="GAH1" s="159"/>
      <c r="GAI1" s="159"/>
      <c r="GAJ1" s="159"/>
      <c r="GAK1" s="159"/>
      <c r="GAL1" s="159"/>
      <c r="GAM1" s="159"/>
      <c r="GAN1" s="159"/>
      <c r="GAO1" s="159"/>
      <c r="GAP1" s="159"/>
      <c r="GAQ1" s="159"/>
      <c r="GAR1" s="159"/>
      <c r="GAS1" s="159"/>
      <c r="GAT1" s="159"/>
      <c r="GAU1" s="159"/>
      <c r="GAV1" s="159"/>
      <c r="GAW1" s="159"/>
      <c r="GAX1" s="159"/>
      <c r="GAY1" s="159"/>
      <c r="GAZ1" s="159"/>
      <c r="GBA1" s="159"/>
      <c r="GBB1" s="159"/>
      <c r="GBC1" s="159"/>
      <c r="GBD1" s="159"/>
      <c r="GBE1" s="159"/>
      <c r="GBF1" s="159"/>
      <c r="GBG1" s="159"/>
      <c r="GBH1" s="159"/>
      <c r="GBI1" s="159"/>
      <c r="GBJ1" s="159"/>
      <c r="GBK1" s="159"/>
      <c r="GBL1" s="159"/>
      <c r="GBM1" s="159"/>
      <c r="GBN1" s="159"/>
      <c r="GBO1" s="159"/>
      <c r="GBP1" s="159"/>
      <c r="GBQ1" s="159"/>
      <c r="GBR1" s="159"/>
      <c r="GBS1" s="159"/>
      <c r="GBT1" s="159"/>
      <c r="GBU1" s="159"/>
      <c r="GBV1" s="159"/>
      <c r="GBW1" s="159"/>
      <c r="GBX1" s="159"/>
      <c r="GBY1" s="159"/>
      <c r="GBZ1" s="159"/>
      <c r="GCA1" s="159"/>
      <c r="GCB1" s="159"/>
      <c r="GCC1" s="159"/>
      <c r="GCD1" s="159"/>
      <c r="GCE1" s="159"/>
      <c r="GCF1" s="159"/>
      <c r="GCG1" s="159"/>
      <c r="GCH1" s="159"/>
      <c r="GCI1" s="159"/>
      <c r="GCJ1" s="159"/>
      <c r="GCK1" s="159"/>
      <c r="GCL1" s="159"/>
      <c r="GCM1" s="159"/>
      <c r="GCN1" s="159"/>
      <c r="GCO1" s="159"/>
      <c r="GCP1" s="159"/>
      <c r="GCQ1" s="159"/>
      <c r="GCR1" s="159"/>
      <c r="GCS1" s="159"/>
      <c r="GCT1" s="159"/>
      <c r="GCU1" s="159"/>
      <c r="GCV1" s="159"/>
      <c r="GCW1" s="159"/>
      <c r="GCX1" s="159"/>
      <c r="GCY1" s="159"/>
      <c r="GCZ1" s="159"/>
      <c r="GDA1" s="159"/>
      <c r="GDB1" s="159"/>
      <c r="GDC1" s="159"/>
      <c r="GDD1" s="159"/>
      <c r="GDE1" s="159"/>
      <c r="GDF1" s="159"/>
      <c r="GDG1" s="159"/>
      <c r="GDH1" s="159"/>
      <c r="GDI1" s="159"/>
      <c r="GDJ1" s="159"/>
      <c r="GDK1" s="159"/>
      <c r="GDL1" s="159"/>
      <c r="GDM1" s="159"/>
      <c r="GDN1" s="159"/>
      <c r="GDO1" s="159"/>
      <c r="GDP1" s="159"/>
      <c r="GDQ1" s="159"/>
      <c r="GDR1" s="159"/>
      <c r="GDS1" s="159"/>
      <c r="GDT1" s="159"/>
      <c r="GDU1" s="159"/>
      <c r="GDV1" s="159"/>
      <c r="GDW1" s="159"/>
      <c r="GDX1" s="159"/>
      <c r="GDY1" s="159"/>
      <c r="GDZ1" s="159"/>
      <c r="GEA1" s="159"/>
      <c r="GEB1" s="159"/>
      <c r="GEC1" s="159"/>
      <c r="GED1" s="159"/>
      <c r="GEE1" s="159"/>
      <c r="GEF1" s="159"/>
      <c r="GEG1" s="159"/>
      <c r="GEH1" s="159"/>
      <c r="GEI1" s="159"/>
      <c r="GEJ1" s="159"/>
      <c r="GEK1" s="159"/>
      <c r="GEL1" s="159"/>
      <c r="GEM1" s="159"/>
      <c r="GEN1" s="159"/>
      <c r="GEO1" s="159"/>
      <c r="GEP1" s="159"/>
      <c r="GEQ1" s="159"/>
      <c r="GER1" s="159"/>
      <c r="GGC1" s="159"/>
      <c r="GGQ1" s="159"/>
      <c r="GGR1" s="159"/>
      <c r="GGS1" s="159"/>
      <c r="GGT1" s="159"/>
      <c r="GGU1" s="159"/>
      <c r="GGV1" s="159"/>
      <c r="GGW1" s="159"/>
      <c r="GGX1" s="159"/>
      <c r="GGY1" s="159"/>
      <c r="GGZ1" s="159"/>
      <c r="GHA1" s="159"/>
      <c r="GHB1" s="159"/>
      <c r="GHC1" s="159"/>
      <c r="GHD1" s="159"/>
      <c r="GHE1" s="159"/>
      <c r="GHF1" s="159"/>
      <c r="GHG1" s="159"/>
      <c r="GHH1" s="159"/>
      <c r="GHI1" s="159"/>
      <c r="GHJ1" s="159"/>
      <c r="GHK1" s="159"/>
      <c r="GHL1" s="159"/>
      <c r="GHM1" s="159"/>
      <c r="GHN1" s="159"/>
      <c r="GHO1" s="159"/>
      <c r="GHP1" s="159"/>
      <c r="GHQ1" s="159"/>
      <c r="GHR1" s="159"/>
      <c r="GHS1" s="159"/>
      <c r="GHT1" s="159"/>
      <c r="GHU1" s="159"/>
      <c r="GHV1" s="159"/>
      <c r="GHW1" s="159"/>
      <c r="GHX1" s="159"/>
      <c r="GHY1" s="159"/>
      <c r="GHZ1" s="159"/>
      <c r="GIA1" s="159"/>
      <c r="GIB1" s="159"/>
      <c r="GIC1" s="159"/>
      <c r="GID1" s="159"/>
      <c r="GIE1" s="159"/>
      <c r="GIF1" s="159"/>
      <c r="GIG1" s="159"/>
      <c r="GIH1" s="159"/>
      <c r="GII1" s="159"/>
      <c r="GIJ1" s="159"/>
      <c r="GIK1" s="159"/>
      <c r="GIL1" s="159"/>
      <c r="GIM1" s="159"/>
      <c r="GIN1" s="159"/>
      <c r="GIO1" s="159"/>
      <c r="GIP1" s="159"/>
      <c r="GIQ1" s="159"/>
      <c r="GIR1" s="159"/>
      <c r="GIS1" s="159"/>
      <c r="GIT1" s="159"/>
      <c r="GIU1" s="159"/>
      <c r="GIV1" s="159"/>
      <c r="GIW1" s="159"/>
      <c r="GIX1" s="159"/>
      <c r="GIY1" s="159"/>
      <c r="GIZ1" s="159"/>
      <c r="GJA1" s="159"/>
      <c r="GJB1" s="159"/>
      <c r="GJC1" s="159"/>
      <c r="GJD1" s="159"/>
      <c r="GJE1" s="159"/>
      <c r="GJF1" s="159"/>
      <c r="GJG1" s="159"/>
      <c r="GJH1" s="159"/>
      <c r="GJI1" s="159"/>
      <c r="GJJ1" s="159"/>
      <c r="GJK1" s="159"/>
      <c r="GJL1" s="159"/>
      <c r="GJM1" s="159"/>
      <c r="GJN1" s="159"/>
      <c r="GJO1" s="159"/>
      <c r="GJP1" s="159"/>
      <c r="GJQ1" s="159"/>
      <c r="GJR1" s="159"/>
      <c r="GJS1" s="159"/>
      <c r="GJT1" s="159"/>
      <c r="GJU1" s="159"/>
      <c r="GJV1" s="159"/>
      <c r="GJW1" s="159"/>
      <c r="GJX1" s="159"/>
      <c r="GJY1" s="159"/>
      <c r="GJZ1" s="159"/>
      <c r="GKA1" s="159"/>
      <c r="GKB1" s="159"/>
      <c r="GKC1" s="159"/>
      <c r="GKD1" s="159"/>
      <c r="GKE1" s="159"/>
      <c r="GKF1" s="159"/>
      <c r="GKG1" s="159"/>
      <c r="GKH1" s="159"/>
      <c r="GKI1" s="159"/>
      <c r="GKJ1" s="159"/>
      <c r="GKK1" s="159"/>
      <c r="GKL1" s="159"/>
      <c r="GKM1" s="159"/>
      <c r="GKN1" s="159"/>
      <c r="GKO1" s="159"/>
      <c r="GKP1" s="159"/>
      <c r="GKQ1" s="159"/>
      <c r="GKR1" s="159"/>
      <c r="GKS1" s="159"/>
      <c r="GKT1" s="159"/>
      <c r="GKU1" s="159"/>
      <c r="GKV1" s="159"/>
      <c r="GKW1" s="159"/>
      <c r="GKX1" s="159"/>
      <c r="GKY1" s="159"/>
      <c r="GKZ1" s="159"/>
      <c r="GLA1" s="159"/>
      <c r="GLB1" s="159"/>
      <c r="GLC1" s="159"/>
      <c r="GLD1" s="159"/>
      <c r="GLE1" s="159"/>
      <c r="GLF1" s="159"/>
      <c r="GLG1" s="159"/>
      <c r="GLH1" s="159"/>
      <c r="GLI1" s="159"/>
      <c r="GLJ1" s="159"/>
      <c r="GLK1" s="159"/>
      <c r="GLL1" s="159"/>
      <c r="GLM1" s="159"/>
      <c r="GLN1" s="159"/>
      <c r="GLO1" s="159"/>
      <c r="GLP1" s="159"/>
      <c r="GLQ1" s="159"/>
      <c r="GLR1" s="159"/>
      <c r="GLS1" s="159"/>
      <c r="GLT1" s="159"/>
      <c r="GLU1" s="159"/>
      <c r="GLV1" s="159"/>
      <c r="GLW1" s="159"/>
      <c r="GLX1" s="159"/>
      <c r="GLY1" s="159"/>
      <c r="GLZ1" s="159"/>
      <c r="GMA1" s="159"/>
      <c r="GMB1" s="159"/>
      <c r="GMC1" s="159"/>
      <c r="GMD1" s="159"/>
      <c r="GME1" s="159"/>
      <c r="GMF1" s="159"/>
      <c r="GMG1" s="159"/>
      <c r="GMH1" s="159"/>
      <c r="GMI1" s="159"/>
      <c r="GMJ1" s="159"/>
      <c r="GMK1" s="159"/>
      <c r="GML1" s="159"/>
      <c r="GMM1" s="159"/>
      <c r="GMN1" s="159"/>
      <c r="GMO1" s="159"/>
      <c r="GMP1" s="159"/>
      <c r="GMQ1" s="159"/>
      <c r="GMR1" s="159"/>
      <c r="GMS1" s="159"/>
      <c r="GMT1" s="159"/>
      <c r="GMU1" s="159"/>
      <c r="GMV1" s="159"/>
      <c r="GMW1" s="159"/>
      <c r="GMX1" s="159"/>
      <c r="GMY1" s="159"/>
      <c r="GMZ1" s="159"/>
      <c r="GNA1" s="159"/>
      <c r="GNB1" s="159"/>
      <c r="GNC1" s="159"/>
      <c r="GND1" s="159"/>
      <c r="GNE1" s="159"/>
      <c r="GNF1" s="159"/>
      <c r="GNG1" s="159"/>
      <c r="GNH1" s="159"/>
      <c r="GNI1" s="159"/>
      <c r="GNJ1" s="159"/>
      <c r="GNK1" s="159"/>
      <c r="GNL1" s="159"/>
      <c r="GNM1" s="159"/>
      <c r="GNN1" s="159"/>
      <c r="GNO1" s="159"/>
      <c r="GNP1" s="159"/>
      <c r="GNQ1" s="159"/>
      <c r="GNR1" s="159"/>
      <c r="GNS1" s="159"/>
      <c r="GNT1" s="159"/>
      <c r="GNU1" s="159"/>
      <c r="GNV1" s="159"/>
      <c r="GNW1" s="159"/>
      <c r="GNX1" s="159"/>
      <c r="GNY1" s="159"/>
      <c r="GNZ1" s="159"/>
      <c r="GOA1" s="159"/>
      <c r="GOB1" s="159"/>
      <c r="GOC1" s="159"/>
      <c r="GOD1" s="159"/>
      <c r="GOE1" s="159"/>
      <c r="GOF1" s="159"/>
      <c r="GOG1" s="159"/>
      <c r="GOH1" s="159"/>
      <c r="GOI1" s="159"/>
      <c r="GOJ1" s="159"/>
      <c r="GOK1" s="159"/>
      <c r="GOL1" s="159"/>
      <c r="GOM1" s="159"/>
      <c r="GON1" s="159"/>
      <c r="GPY1" s="159"/>
      <c r="GQM1" s="159"/>
      <c r="GQN1" s="159"/>
      <c r="GQO1" s="159"/>
      <c r="GQP1" s="159"/>
      <c r="GQQ1" s="159"/>
      <c r="GQR1" s="159"/>
      <c r="GQS1" s="159"/>
      <c r="GQT1" s="159"/>
      <c r="GQU1" s="159"/>
      <c r="GQV1" s="159"/>
      <c r="GQW1" s="159"/>
      <c r="GQX1" s="159"/>
      <c r="GQY1" s="159"/>
      <c r="GQZ1" s="159"/>
      <c r="GRA1" s="159"/>
      <c r="GRB1" s="159"/>
      <c r="GRC1" s="159"/>
      <c r="GRD1" s="159"/>
      <c r="GRE1" s="159"/>
      <c r="GRF1" s="159"/>
      <c r="GRG1" s="159"/>
      <c r="GRH1" s="159"/>
      <c r="GRI1" s="159"/>
      <c r="GRJ1" s="159"/>
      <c r="GRK1" s="159"/>
      <c r="GRL1" s="159"/>
      <c r="GRM1" s="159"/>
      <c r="GRN1" s="159"/>
      <c r="GRO1" s="159"/>
      <c r="GRP1" s="159"/>
      <c r="GRQ1" s="159"/>
      <c r="GRR1" s="159"/>
      <c r="GRS1" s="159"/>
      <c r="GRT1" s="159"/>
      <c r="GRU1" s="159"/>
      <c r="GRV1" s="159"/>
      <c r="GRW1" s="159"/>
      <c r="GRX1" s="159"/>
      <c r="GRY1" s="159"/>
      <c r="GRZ1" s="159"/>
      <c r="GSA1" s="159"/>
      <c r="GSB1" s="159"/>
      <c r="GSC1" s="159"/>
      <c r="GSD1" s="159"/>
      <c r="GSE1" s="159"/>
      <c r="GSF1" s="159"/>
      <c r="GSG1" s="159"/>
      <c r="GSH1" s="159"/>
      <c r="GSI1" s="159"/>
      <c r="GSJ1" s="159"/>
      <c r="GSK1" s="159"/>
      <c r="GSL1" s="159"/>
      <c r="GSM1" s="159"/>
      <c r="GSN1" s="159"/>
      <c r="GSO1" s="159"/>
      <c r="GSP1" s="159"/>
      <c r="GSQ1" s="159"/>
      <c r="GSR1" s="159"/>
      <c r="GSS1" s="159"/>
      <c r="GST1" s="159"/>
      <c r="GSU1" s="159"/>
      <c r="GSV1" s="159"/>
      <c r="GSW1" s="159"/>
      <c r="GSX1" s="159"/>
      <c r="GSY1" s="159"/>
      <c r="GSZ1" s="159"/>
      <c r="GTA1" s="159"/>
      <c r="GTB1" s="159"/>
      <c r="GTC1" s="159"/>
      <c r="GTD1" s="159"/>
      <c r="GTE1" s="159"/>
      <c r="GTF1" s="159"/>
      <c r="GTG1" s="159"/>
      <c r="GTH1" s="159"/>
      <c r="GTI1" s="159"/>
      <c r="GTJ1" s="159"/>
      <c r="GTK1" s="159"/>
      <c r="GTL1" s="159"/>
      <c r="GTM1" s="159"/>
      <c r="GTN1" s="159"/>
      <c r="GTO1" s="159"/>
      <c r="GTP1" s="159"/>
      <c r="GTQ1" s="159"/>
      <c r="GTR1" s="159"/>
      <c r="GTS1" s="159"/>
      <c r="GTT1" s="159"/>
      <c r="GTU1" s="159"/>
      <c r="GTV1" s="159"/>
      <c r="GTW1" s="159"/>
      <c r="GTX1" s="159"/>
      <c r="GTY1" s="159"/>
      <c r="GTZ1" s="159"/>
      <c r="GUA1" s="159"/>
      <c r="GUB1" s="159"/>
      <c r="GUC1" s="159"/>
      <c r="GUD1" s="159"/>
      <c r="GUE1" s="159"/>
      <c r="GUF1" s="159"/>
      <c r="GUG1" s="159"/>
      <c r="GUH1" s="159"/>
      <c r="GUI1" s="159"/>
      <c r="GUJ1" s="159"/>
      <c r="GUK1" s="159"/>
      <c r="GUL1" s="159"/>
      <c r="GUM1" s="159"/>
      <c r="GUN1" s="159"/>
      <c r="GUO1" s="159"/>
      <c r="GUP1" s="159"/>
      <c r="GUQ1" s="159"/>
      <c r="GUR1" s="159"/>
      <c r="GUS1" s="159"/>
      <c r="GUT1" s="159"/>
      <c r="GUU1" s="159"/>
      <c r="GUV1" s="159"/>
      <c r="GUW1" s="159"/>
      <c r="GUX1" s="159"/>
      <c r="GUY1" s="159"/>
      <c r="GUZ1" s="159"/>
      <c r="GVA1" s="159"/>
      <c r="GVB1" s="159"/>
      <c r="GVC1" s="159"/>
      <c r="GVD1" s="159"/>
      <c r="GVE1" s="159"/>
      <c r="GVF1" s="159"/>
      <c r="GVG1" s="159"/>
      <c r="GVH1" s="159"/>
      <c r="GVI1" s="159"/>
      <c r="GVJ1" s="159"/>
      <c r="GVK1" s="159"/>
      <c r="GVL1" s="159"/>
      <c r="GVM1" s="159"/>
      <c r="GVN1" s="159"/>
      <c r="GVO1" s="159"/>
      <c r="GVP1" s="159"/>
      <c r="GVQ1" s="159"/>
      <c r="GVR1" s="159"/>
      <c r="GVS1" s="159"/>
      <c r="GVT1" s="159"/>
      <c r="GVU1" s="159"/>
      <c r="GVV1" s="159"/>
      <c r="GVW1" s="159"/>
      <c r="GVX1" s="159"/>
      <c r="GVY1" s="159"/>
      <c r="GVZ1" s="159"/>
      <c r="GWA1" s="159"/>
      <c r="GWB1" s="159"/>
      <c r="GWC1" s="159"/>
      <c r="GWD1" s="159"/>
      <c r="GWE1" s="159"/>
      <c r="GWF1" s="159"/>
      <c r="GWG1" s="159"/>
      <c r="GWH1" s="159"/>
      <c r="GWI1" s="159"/>
      <c r="GWJ1" s="159"/>
      <c r="GWK1" s="159"/>
      <c r="GWL1" s="159"/>
      <c r="GWM1" s="159"/>
      <c r="GWN1" s="159"/>
      <c r="GWO1" s="159"/>
      <c r="GWP1" s="159"/>
      <c r="GWQ1" s="159"/>
      <c r="GWR1" s="159"/>
      <c r="GWS1" s="159"/>
      <c r="GWT1" s="159"/>
      <c r="GWU1" s="159"/>
      <c r="GWV1" s="159"/>
      <c r="GWW1" s="159"/>
      <c r="GWX1" s="159"/>
      <c r="GWY1" s="159"/>
      <c r="GWZ1" s="159"/>
      <c r="GXA1" s="159"/>
      <c r="GXB1" s="159"/>
      <c r="GXC1" s="159"/>
      <c r="GXD1" s="159"/>
      <c r="GXE1" s="159"/>
      <c r="GXF1" s="159"/>
      <c r="GXG1" s="159"/>
      <c r="GXH1" s="159"/>
      <c r="GXI1" s="159"/>
      <c r="GXJ1" s="159"/>
      <c r="GXK1" s="159"/>
      <c r="GXL1" s="159"/>
      <c r="GXM1" s="159"/>
      <c r="GXN1" s="159"/>
      <c r="GXO1" s="159"/>
      <c r="GXP1" s="159"/>
      <c r="GXQ1" s="159"/>
      <c r="GXR1" s="159"/>
      <c r="GXS1" s="159"/>
      <c r="GXT1" s="159"/>
      <c r="GXU1" s="159"/>
      <c r="GXV1" s="159"/>
      <c r="GXW1" s="159"/>
      <c r="GXX1" s="159"/>
      <c r="GXY1" s="159"/>
      <c r="GXZ1" s="159"/>
      <c r="GYA1" s="159"/>
      <c r="GYB1" s="159"/>
      <c r="GYC1" s="159"/>
      <c r="GYD1" s="159"/>
      <c r="GYE1" s="159"/>
      <c r="GYF1" s="159"/>
      <c r="GYG1" s="159"/>
      <c r="GYH1" s="159"/>
      <c r="GYI1" s="159"/>
      <c r="GYJ1" s="159"/>
      <c r="GZU1" s="159"/>
      <c r="HAI1" s="159"/>
      <c r="HAJ1" s="159"/>
      <c r="HAK1" s="159"/>
      <c r="HAL1" s="159"/>
      <c r="HAM1" s="159"/>
      <c r="HAN1" s="159"/>
      <c r="HAO1" s="159"/>
      <c r="HAP1" s="159"/>
      <c r="HAQ1" s="159"/>
      <c r="HAR1" s="159"/>
      <c r="HAS1" s="159"/>
      <c r="HAT1" s="159"/>
      <c r="HAU1" s="159"/>
      <c r="HAV1" s="159"/>
      <c r="HAW1" s="159"/>
      <c r="HAX1" s="159"/>
      <c r="HAY1" s="159"/>
      <c r="HAZ1" s="159"/>
      <c r="HBA1" s="159"/>
      <c r="HBB1" s="159"/>
      <c r="HBC1" s="159"/>
      <c r="HBD1" s="159"/>
      <c r="HBE1" s="159"/>
      <c r="HBF1" s="159"/>
      <c r="HBG1" s="159"/>
      <c r="HBH1" s="159"/>
      <c r="HBI1" s="159"/>
      <c r="HBJ1" s="159"/>
      <c r="HBK1" s="159"/>
      <c r="HBL1" s="159"/>
      <c r="HBM1" s="159"/>
      <c r="HBN1" s="159"/>
      <c r="HBO1" s="159"/>
      <c r="HBP1" s="159"/>
      <c r="HBQ1" s="159"/>
      <c r="HBR1" s="159"/>
      <c r="HBS1" s="159"/>
      <c r="HBT1" s="159"/>
      <c r="HBU1" s="159"/>
      <c r="HBV1" s="159"/>
      <c r="HBW1" s="159"/>
      <c r="HBX1" s="159"/>
      <c r="HBY1" s="159"/>
      <c r="HBZ1" s="159"/>
      <c r="HCA1" s="159"/>
      <c r="HCB1" s="159"/>
      <c r="HCC1" s="159"/>
      <c r="HCD1" s="159"/>
      <c r="HCE1" s="159"/>
      <c r="HCF1" s="159"/>
      <c r="HCG1" s="159"/>
      <c r="HCH1" s="159"/>
      <c r="HCI1" s="159"/>
      <c r="HCJ1" s="159"/>
      <c r="HCK1" s="159"/>
      <c r="HCL1" s="159"/>
      <c r="HCM1" s="159"/>
      <c r="HCN1" s="159"/>
      <c r="HCO1" s="159"/>
      <c r="HCP1" s="159"/>
      <c r="HCQ1" s="159"/>
      <c r="HCR1" s="159"/>
      <c r="HCS1" s="159"/>
      <c r="HCT1" s="159"/>
      <c r="HCU1" s="159"/>
      <c r="HCV1" s="159"/>
      <c r="HCW1" s="159"/>
      <c r="HCX1" s="159"/>
      <c r="HCY1" s="159"/>
      <c r="HCZ1" s="159"/>
      <c r="HDA1" s="159"/>
      <c r="HDB1" s="159"/>
      <c r="HDC1" s="159"/>
      <c r="HDD1" s="159"/>
      <c r="HDE1" s="159"/>
      <c r="HDF1" s="159"/>
      <c r="HDG1" s="159"/>
      <c r="HDH1" s="159"/>
      <c r="HDI1" s="159"/>
      <c r="HDJ1" s="159"/>
      <c r="HDK1" s="159"/>
      <c r="HDL1" s="159"/>
      <c r="HDM1" s="159"/>
      <c r="HDN1" s="159"/>
      <c r="HDO1" s="159"/>
      <c r="HDP1" s="159"/>
      <c r="HDQ1" s="159"/>
      <c r="HDR1" s="159"/>
      <c r="HDS1" s="159"/>
      <c r="HDT1" s="159"/>
      <c r="HDU1" s="159"/>
      <c r="HDV1" s="159"/>
      <c r="HDW1" s="159"/>
      <c r="HDX1" s="159"/>
      <c r="HDY1" s="159"/>
      <c r="HDZ1" s="159"/>
      <c r="HEA1" s="159"/>
      <c r="HEB1" s="159"/>
      <c r="HEC1" s="159"/>
      <c r="HED1" s="159"/>
      <c r="HEE1" s="159"/>
      <c r="HEF1" s="159"/>
      <c r="HEG1" s="159"/>
      <c r="HEH1" s="159"/>
      <c r="HEI1" s="159"/>
      <c r="HEJ1" s="159"/>
      <c r="HEK1" s="159"/>
      <c r="HEL1" s="159"/>
      <c r="HEM1" s="159"/>
      <c r="HEN1" s="159"/>
      <c r="HEO1" s="159"/>
      <c r="HEP1" s="159"/>
      <c r="HEQ1" s="159"/>
      <c r="HER1" s="159"/>
      <c r="HES1" s="159"/>
      <c r="HET1" s="159"/>
      <c r="HEU1" s="159"/>
      <c r="HEV1" s="159"/>
      <c r="HEW1" s="159"/>
      <c r="HEX1" s="159"/>
      <c r="HEY1" s="159"/>
      <c r="HEZ1" s="159"/>
      <c r="HFA1" s="159"/>
      <c r="HFB1" s="159"/>
      <c r="HFC1" s="159"/>
      <c r="HFD1" s="159"/>
      <c r="HFE1" s="159"/>
      <c r="HFF1" s="159"/>
      <c r="HFG1" s="159"/>
      <c r="HFH1" s="159"/>
      <c r="HFI1" s="159"/>
      <c r="HFJ1" s="159"/>
      <c r="HFK1" s="159"/>
      <c r="HFL1" s="159"/>
      <c r="HFM1" s="159"/>
      <c r="HFN1" s="159"/>
      <c r="HFO1" s="159"/>
      <c r="HFP1" s="159"/>
      <c r="HFQ1" s="159"/>
      <c r="HFR1" s="159"/>
      <c r="HFS1" s="159"/>
      <c r="HFT1" s="159"/>
      <c r="HFU1" s="159"/>
      <c r="HFV1" s="159"/>
      <c r="HFW1" s="159"/>
      <c r="HFX1" s="159"/>
      <c r="HFY1" s="159"/>
      <c r="HFZ1" s="159"/>
      <c r="HGA1" s="159"/>
      <c r="HGB1" s="159"/>
      <c r="HGC1" s="159"/>
      <c r="HGD1" s="159"/>
      <c r="HGE1" s="159"/>
      <c r="HGF1" s="159"/>
      <c r="HGG1" s="159"/>
      <c r="HGH1" s="159"/>
      <c r="HGI1" s="159"/>
      <c r="HGJ1" s="159"/>
      <c r="HGK1" s="159"/>
      <c r="HGL1" s="159"/>
      <c r="HGM1" s="159"/>
      <c r="HGN1" s="159"/>
      <c r="HGO1" s="159"/>
      <c r="HGP1" s="159"/>
      <c r="HGQ1" s="159"/>
      <c r="HGR1" s="159"/>
      <c r="HGS1" s="159"/>
      <c r="HGT1" s="159"/>
      <c r="HGU1" s="159"/>
      <c r="HGV1" s="159"/>
      <c r="HGW1" s="159"/>
      <c r="HGX1" s="159"/>
      <c r="HGY1" s="159"/>
      <c r="HGZ1" s="159"/>
      <c r="HHA1" s="159"/>
      <c r="HHB1" s="159"/>
      <c r="HHC1" s="159"/>
      <c r="HHD1" s="159"/>
      <c r="HHE1" s="159"/>
      <c r="HHF1" s="159"/>
      <c r="HHG1" s="159"/>
      <c r="HHH1" s="159"/>
      <c r="HHI1" s="159"/>
      <c r="HHJ1" s="159"/>
      <c r="HHK1" s="159"/>
      <c r="HHL1" s="159"/>
      <c r="HHM1" s="159"/>
      <c r="HHN1" s="159"/>
      <c r="HHO1" s="159"/>
      <c r="HHP1" s="159"/>
      <c r="HHQ1" s="159"/>
      <c r="HHR1" s="159"/>
      <c r="HHS1" s="159"/>
      <c r="HHT1" s="159"/>
      <c r="HHU1" s="159"/>
      <c r="HHV1" s="159"/>
      <c r="HHW1" s="159"/>
      <c r="HHX1" s="159"/>
      <c r="HHY1" s="159"/>
      <c r="HHZ1" s="159"/>
      <c r="HIA1" s="159"/>
      <c r="HIB1" s="159"/>
      <c r="HIC1" s="159"/>
      <c r="HID1" s="159"/>
      <c r="HIE1" s="159"/>
      <c r="HIF1" s="159"/>
      <c r="HJQ1" s="159"/>
      <c r="HKE1" s="159"/>
      <c r="HKF1" s="159"/>
      <c r="HKG1" s="159"/>
      <c r="HKH1" s="159"/>
      <c r="HKI1" s="159"/>
      <c r="HKJ1" s="159"/>
      <c r="HKK1" s="159"/>
      <c r="HKL1" s="159"/>
      <c r="HKM1" s="159"/>
      <c r="HKN1" s="159"/>
      <c r="HKO1" s="159"/>
      <c r="HKP1" s="159"/>
      <c r="HKQ1" s="159"/>
      <c r="HKR1" s="159"/>
      <c r="HKS1" s="159"/>
      <c r="HKT1" s="159"/>
      <c r="HKU1" s="159"/>
      <c r="HKV1" s="159"/>
      <c r="HKW1" s="159"/>
      <c r="HKX1" s="159"/>
      <c r="HKY1" s="159"/>
      <c r="HKZ1" s="159"/>
      <c r="HLA1" s="159"/>
      <c r="HLB1" s="159"/>
      <c r="HLC1" s="159"/>
      <c r="HLD1" s="159"/>
      <c r="HLE1" s="159"/>
      <c r="HLF1" s="159"/>
      <c r="HLG1" s="159"/>
      <c r="HLH1" s="159"/>
      <c r="HLI1" s="159"/>
      <c r="HLJ1" s="159"/>
      <c r="HLK1" s="159"/>
      <c r="HLL1" s="159"/>
      <c r="HLM1" s="159"/>
      <c r="HLN1" s="159"/>
      <c r="HLO1" s="159"/>
      <c r="HLP1" s="159"/>
      <c r="HLQ1" s="159"/>
      <c r="HLR1" s="159"/>
      <c r="HLS1" s="159"/>
      <c r="HLT1" s="159"/>
      <c r="HLU1" s="159"/>
      <c r="HLV1" s="159"/>
      <c r="HLW1" s="159"/>
      <c r="HLX1" s="159"/>
      <c r="HLY1" s="159"/>
      <c r="HLZ1" s="159"/>
      <c r="HMA1" s="159"/>
      <c r="HMB1" s="159"/>
      <c r="HMC1" s="159"/>
      <c r="HMD1" s="159"/>
      <c r="HME1" s="159"/>
      <c r="HMF1" s="159"/>
      <c r="HMG1" s="159"/>
      <c r="HMH1" s="159"/>
      <c r="HMI1" s="159"/>
      <c r="HMJ1" s="159"/>
      <c r="HMK1" s="159"/>
      <c r="HML1" s="159"/>
      <c r="HMM1" s="159"/>
      <c r="HMN1" s="159"/>
      <c r="HMO1" s="159"/>
      <c r="HMP1" s="159"/>
      <c r="HMQ1" s="159"/>
      <c r="HMR1" s="159"/>
      <c r="HMS1" s="159"/>
      <c r="HMT1" s="159"/>
      <c r="HMU1" s="159"/>
      <c r="HMV1" s="159"/>
      <c r="HMW1" s="159"/>
      <c r="HMX1" s="159"/>
      <c r="HMY1" s="159"/>
      <c r="HMZ1" s="159"/>
      <c r="HNA1" s="159"/>
      <c r="HNB1" s="159"/>
      <c r="HNC1" s="159"/>
      <c r="HND1" s="159"/>
      <c r="HNE1" s="159"/>
      <c r="HNF1" s="159"/>
      <c r="HNG1" s="159"/>
      <c r="HNH1" s="159"/>
      <c r="HNI1" s="159"/>
      <c r="HNJ1" s="159"/>
      <c r="HNK1" s="159"/>
      <c r="HNL1" s="159"/>
      <c r="HNM1" s="159"/>
      <c r="HNN1" s="159"/>
      <c r="HNO1" s="159"/>
      <c r="HNP1" s="159"/>
      <c r="HNQ1" s="159"/>
      <c r="HNR1" s="159"/>
      <c r="HNS1" s="159"/>
      <c r="HNT1" s="159"/>
      <c r="HNU1" s="159"/>
      <c r="HNV1" s="159"/>
      <c r="HNW1" s="159"/>
      <c r="HNX1" s="159"/>
      <c r="HNY1" s="159"/>
      <c r="HNZ1" s="159"/>
      <c r="HOA1" s="159"/>
      <c r="HOB1" s="159"/>
      <c r="HOC1" s="159"/>
      <c r="HOD1" s="159"/>
      <c r="HOE1" s="159"/>
      <c r="HOF1" s="159"/>
      <c r="HOG1" s="159"/>
      <c r="HOH1" s="159"/>
      <c r="HOI1" s="159"/>
      <c r="HOJ1" s="159"/>
      <c r="HOK1" s="159"/>
      <c r="HOL1" s="159"/>
      <c r="HOM1" s="159"/>
      <c r="HON1" s="159"/>
      <c r="HOO1" s="159"/>
      <c r="HOP1" s="159"/>
      <c r="HOQ1" s="159"/>
      <c r="HOR1" s="159"/>
      <c r="HOS1" s="159"/>
      <c r="HOT1" s="159"/>
      <c r="HOU1" s="159"/>
      <c r="HOV1" s="159"/>
      <c r="HOW1" s="159"/>
      <c r="HOX1" s="159"/>
      <c r="HOY1" s="159"/>
      <c r="HOZ1" s="159"/>
      <c r="HPA1" s="159"/>
      <c r="HPB1" s="159"/>
      <c r="HPC1" s="159"/>
      <c r="HPD1" s="159"/>
      <c r="HPE1" s="159"/>
      <c r="HPF1" s="159"/>
      <c r="HPG1" s="159"/>
      <c r="HPH1" s="159"/>
      <c r="HPI1" s="159"/>
      <c r="HPJ1" s="159"/>
      <c r="HPK1" s="159"/>
      <c r="HPL1" s="159"/>
      <c r="HPM1" s="159"/>
      <c r="HPN1" s="159"/>
      <c r="HPO1" s="159"/>
      <c r="HPP1" s="159"/>
      <c r="HPQ1" s="159"/>
      <c r="HPR1" s="159"/>
      <c r="HPS1" s="159"/>
      <c r="HPT1" s="159"/>
      <c r="HPU1" s="159"/>
      <c r="HPV1" s="159"/>
      <c r="HPW1" s="159"/>
      <c r="HPX1" s="159"/>
      <c r="HPY1" s="159"/>
      <c r="HPZ1" s="159"/>
      <c r="HQA1" s="159"/>
      <c r="HQB1" s="159"/>
      <c r="HQC1" s="159"/>
      <c r="HQD1" s="159"/>
      <c r="HQE1" s="159"/>
      <c r="HQF1" s="159"/>
      <c r="HQG1" s="159"/>
      <c r="HQH1" s="159"/>
      <c r="HQI1" s="159"/>
      <c r="HQJ1" s="159"/>
      <c r="HQK1" s="159"/>
      <c r="HQL1" s="159"/>
      <c r="HQM1" s="159"/>
      <c r="HQN1" s="159"/>
      <c r="HQO1" s="159"/>
      <c r="HQP1" s="159"/>
      <c r="HQQ1" s="159"/>
      <c r="HQR1" s="159"/>
      <c r="HQS1" s="159"/>
      <c r="HQT1" s="159"/>
      <c r="HQU1" s="159"/>
      <c r="HQV1" s="159"/>
      <c r="HQW1" s="159"/>
      <c r="HQX1" s="159"/>
      <c r="HQY1" s="159"/>
      <c r="HQZ1" s="159"/>
      <c r="HRA1" s="159"/>
      <c r="HRB1" s="159"/>
      <c r="HRC1" s="159"/>
      <c r="HRD1" s="159"/>
      <c r="HRE1" s="159"/>
      <c r="HRF1" s="159"/>
      <c r="HRG1" s="159"/>
      <c r="HRH1" s="159"/>
      <c r="HRI1" s="159"/>
      <c r="HRJ1" s="159"/>
      <c r="HRK1" s="159"/>
      <c r="HRL1" s="159"/>
      <c r="HRM1" s="159"/>
      <c r="HRN1" s="159"/>
      <c r="HRO1" s="159"/>
      <c r="HRP1" s="159"/>
      <c r="HRQ1" s="159"/>
      <c r="HRR1" s="159"/>
      <c r="HRS1" s="159"/>
      <c r="HRT1" s="159"/>
      <c r="HRU1" s="159"/>
      <c r="HRV1" s="159"/>
      <c r="HRW1" s="159"/>
      <c r="HRX1" s="159"/>
      <c r="HRY1" s="159"/>
      <c r="HRZ1" s="159"/>
      <c r="HSA1" s="159"/>
      <c r="HSB1" s="159"/>
      <c r="HTM1" s="159"/>
      <c r="HUA1" s="159"/>
      <c r="HUB1" s="159"/>
      <c r="HUC1" s="159"/>
      <c r="HUD1" s="159"/>
      <c r="HUE1" s="159"/>
      <c r="HUF1" s="159"/>
      <c r="HUG1" s="159"/>
      <c r="HUH1" s="159"/>
      <c r="HUI1" s="159"/>
      <c r="HUJ1" s="159"/>
      <c r="HUK1" s="159"/>
      <c r="HUL1" s="159"/>
      <c r="HUM1" s="159"/>
      <c r="HUN1" s="159"/>
      <c r="HUO1" s="159"/>
      <c r="HUP1" s="159"/>
      <c r="HUQ1" s="159"/>
      <c r="HUR1" s="159"/>
      <c r="HUS1" s="159"/>
      <c r="HUT1" s="159"/>
      <c r="HUU1" s="159"/>
      <c r="HUV1" s="159"/>
      <c r="HUW1" s="159"/>
      <c r="HUX1" s="159"/>
      <c r="HUY1" s="159"/>
      <c r="HUZ1" s="159"/>
      <c r="HVA1" s="159"/>
      <c r="HVB1" s="159"/>
      <c r="HVC1" s="159"/>
      <c r="HVD1" s="159"/>
      <c r="HVE1" s="159"/>
      <c r="HVF1" s="159"/>
      <c r="HVG1" s="159"/>
      <c r="HVH1" s="159"/>
      <c r="HVI1" s="159"/>
      <c r="HVJ1" s="159"/>
      <c r="HVK1" s="159"/>
      <c r="HVL1" s="159"/>
      <c r="HVM1" s="159"/>
      <c r="HVN1" s="159"/>
      <c r="HVO1" s="159"/>
      <c r="HVP1" s="159"/>
      <c r="HVQ1" s="159"/>
      <c r="HVR1" s="159"/>
      <c r="HVS1" s="159"/>
      <c r="HVT1" s="159"/>
      <c r="HVU1" s="159"/>
      <c r="HVV1" s="159"/>
      <c r="HVW1" s="159"/>
      <c r="HVX1" s="159"/>
      <c r="HVY1" s="159"/>
      <c r="HVZ1" s="159"/>
      <c r="HWA1" s="159"/>
      <c r="HWB1" s="159"/>
      <c r="HWC1" s="159"/>
      <c r="HWD1" s="159"/>
      <c r="HWE1" s="159"/>
      <c r="HWF1" s="159"/>
      <c r="HWG1" s="159"/>
      <c r="HWH1" s="159"/>
      <c r="HWI1" s="159"/>
      <c r="HWJ1" s="159"/>
      <c r="HWK1" s="159"/>
      <c r="HWL1" s="159"/>
      <c r="HWM1" s="159"/>
      <c r="HWN1" s="159"/>
      <c r="HWO1" s="159"/>
      <c r="HWP1" s="159"/>
      <c r="HWQ1" s="159"/>
      <c r="HWR1" s="159"/>
      <c r="HWS1" s="159"/>
      <c r="HWT1" s="159"/>
      <c r="HWU1" s="159"/>
      <c r="HWV1" s="159"/>
      <c r="HWW1" s="159"/>
      <c r="HWX1" s="159"/>
      <c r="HWY1" s="159"/>
      <c r="HWZ1" s="159"/>
      <c r="HXA1" s="159"/>
      <c r="HXB1" s="159"/>
      <c r="HXC1" s="159"/>
      <c r="HXD1" s="159"/>
      <c r="HXE1" s="159"/>
      <c r="HXF1" s="159"/>
      <c r="HXG1" s="159"/>
      <c r="HXH1" s="159"/>
      <c r="HXI1" s="159"/>
      <c r="HXJ1" s="159"/>
      <c r="HXK1" s="159"/>
      <c r="HXL1" s="159"/>
      <c r="HXM1" s="159"/>
      <c r="HXN1" s="159"/>
      <c r="HXO1" s="159"/>
      <c r="HXP1" s="159"/>
      <c r="HXQ1" s="159"/>
      <c r="HXR1" s="159"/>
      <c r="HXS1" s="159"/>
      <c r="HXT1" s="159"/>
      <c r="HXU1" s="159"/>
      <c r="HXV1" s="159"/>
      <c r="HXW1" s="159"/>
      <c r="HXX1" s="159"/>
      <c r="HXY1" s="159"/>
      <c r="HXZ1" s="159"/>
      <c r="HYA1" s="159"/>
      <c r="HYB1" s="159"/>
      <c r="HYC1" s="159"/>
      <c r="HYD1" s="159"/>
      <c r="HYE1" s="159"/>
      <c r="HYF1" s="159"/>
      <c r="HYG1" s="159"/>
      <c r="HYH1" s="159"/>
      <c r="HYI1" s="159"/>
      <c r="HYJ1" s="159"/>
      <c r="HYK1" s="159"/>
      <c r="HYL1" s="159"/>
      <c r="HYM1" s="159"/>
      <c r="HYN1" s="159"/>
      <c r="HYO1" s="159"/>
      <c r="HYP1" s="159"/>
      <c r="HYQ1" s="159"/>
      <c r="HYR1" s="159"/>
      <c r="HYS1" s="159"/>
      <c r="HYT1" s="159"/>
      <c r="HYU1" s="159"/>
      <c r="HYV1" s="159"/>
      <c r="HYW1" s="159"/>
      <c r="HYX1" s="159"/>
      <c r="HYY1" s="159"/>
      <c r="HYZ1" s="159"/>
      <c r="HZA1" s="159"/>
      <c r="HZB1" s="159"/>
      <c r="HZC1" s="159"/>
      <c r="HZD1" s="159"/>
      <c r="HZE1" s="159"/>
      <c r="HZF1" s="159"/>
      <c r="HZG1" s="159"/>
      <c r="HZH1" s="159"/>
      <c r="HZI1" s="159"/>
      <c r="HZJ1" s="159"/>
      <c r="HZK1" s="159"/>
      <c r="HZL1" s="159"/>
      <c r="HZM1" s="159"/>
      <c r="HZN1" s="159"/>
      <c r="HZO1" s="159"/>
      <c r="HZP1" s="159"/>
      <c r="HZQ1" s="159"/>
      <c r="HZR1" s="159"/>
      <c r="HZS1" s="159"/>
      <c r="HZT1" s="159"/>
      <c r="HZU1" s="159"/>
      <c r="HZV1" s="159"/>
      <c r="HZW1" s="159"/>
      <c r="HZX1" s="159"/>
      <c r="HZY1" s="159"/>
      <c r="HZZ1" s="159"/>
      <c r="IAA1" s="159"/>
      <c r="IAB1" s="159"/>
      <c r="IAC1" s="159"/>
      <c r="IAD1" s="159"/>
      <c r="IAE1" s="159"/>
      <c r="IAF1" s="159"/>
      <c r="IAG1" s="159"/>
      <c r="IAH1" s="159"/>
      <c r="IAI1" s="159"/>
      <c r="IAJ1" s="159"/>
      <c r="IAK1" s="159"/>
      <c r="IAL1" s="159"/>
      <c r="IAM1" s="159"/>
      <c r="IAN1" s="159"/>
      <c r="IAO1" s="159"/>
      <c r="IAP1" s="159"/>
      <c r="IAQ1" s="159"/>
      <c r="IAR1" s="159"/>
      <c r="IAS1" s="159"/>
      <c r="IAT1" s="159"/>
      <c r="IAU1" s="159"/>
      <c r="IAV1" s="159"/>
      <c r="IAW1" s="159"/>
      <c r="IAX1" s="159"/>
      <c r="IAY1" s="159"/>
      <c r="IAZ1" s="159"/>
      <c r="IBA1" s="159"/>
      <c r="IBB1" s="159"/>
      <c r="IBC1" s="159"/>
      <c r="IBD1" s="159"/>
      <c r="IBE1" s="159"/>
      <c r="IBF1" s="159"/>
      <c r="IBG1" s="159"/>
      <c r="IBH1" s="159"/>
      <c r="IBI1" s="159"/>
      <c r="IBJ1" s="159"/>
      <c r="IBK1" s="159"/>
      <c r="IBL1" s="159"/>
      <c r="IBM1" s="159"/>
      <c r="IBN1" s="159"/>
      <c r="IBO1" s="159"/>
      <c r="IBP1" s="159"/>
      <c r="IBQ1" s="159"/>
      <c r="IBR1" s="159"/>
      <c r="IBS1" s="159"/>
      <c r="IBT1" s="159"/>
      <c r="IBU1" s="159"/>
      <c r="IBV1" s="159"/>
      <c r="IBW1" s="159"/>
      <c r="IBX1" s="159"/>
      <c r="IDI1" s="159"/>
      <c r="IDW1" s="159"/>
      <c r="IDX1" s="159"/>
      <c r="IDY1" s="159"/>
      <c r="IDZ1" s="159"/>
      <c r="IEA1" s="159"/>
      <c r="IEB1" s="159"/>
      <c r="IEC1" s="159"/>
      <c r="IED1" s="159"/>
      <c r="IEE1" s="159"/>
      <c r="IEF1" s="159"/>
      <c r="IEG1" s="159"/>
      <c r="IEH1" s="159"/>
      <c r="IEI1" s="159"/>
      <c r="IEJ1" s="159"/>
      <c r="IEK1" s="159"/>
      <c r="IEL1" s="159"/>
      <c r="IEM1" s="159"/>
      <c r="IEN1" s="159"/>
      <c r="IEO1" s="159"/>
      <c r="IEP1" s="159"/>
      <c r="IEQ1" s="159"/>
      <c r="IER1" s="159"/>
      <c r="IES1" s="159"/>
      <c r="IET1" s="159"/>
      <c r="IEU1" s="159"/>
      <c r="IEV1" s="159"/>
      <c r="IEW1" s="159"/>
      <c r="IEX1" s="159"/>
      <c r="IEY1" s="159"/>
      <c r="IEZ1" s="159"/>
      <c r="IFA1" s="159"/>
      <c r="IFB1" s="159"/>
      <c r="IFC1" s="159"/>
      <c r="IFD1" s="159"/>
      <c r="IFE1" s="159"/>
      <c r="IFF1" s="159"/>
      <c r="IFG1" s="159"/>
      <c r="IFH1" s="159"/>
      <c r="IFI1" s="159"/>
      <c r="IFJ1" s="159"/>
      <c r="IFK1" s="159"/>
      <c r="IFL1" s="159"/>
      <c r="IFM1" s="159"/>
      <c r="IFN1" s="159"/>
      <c r="IFO1" s="159"/>
      <c r="IFP1" s="159"/>
      <c r="IFQ1" s="159"/>
      <c r="IFR1" s="159"/>
      <c r="IFS1" s="159"/>
      <c r="IFT1" s="159"/>
      <c r="IFU1" s="159"/>
      <c r="IFV1" s="159"/>
      <c r="IFW1" s="159"/>
      <c r="IFX1" s="159"/>
      <c r="IFY1" s="159"/>
      <c r="IFZ1" s="159"/>
      <c r="IGA1" s="159"/>
      <c r="IGB1" s="159"/>
      <c r="IGC1" s="159"/>
      <c r="IGD1" s="159"/>
      <c r="IGE1" s="159"/>
      <c r="IGF1" s="159"/>
      <c r="IGG1" s="159"/>
      <c r="IGH1" s="159"/>
      <c r="IGI1" s="159"/>
      <c r="IGJ1" s="159"/>
      <c r="IGK1" s="159"/>
      <c r="IGL1" s="159"/>
      <c r="IGM1" s="159"/>
      <c r="IGN1" s="159"/>
      <c r="IGO1" s="159"/>
      <c r="IGP1" s="159"/>
      <c r="IGQ1" s="159"/>
      <c r="IGR1" s="159"/>
      <c r="IGS1" s="159"/>
      <c r="IGT1" s="159"/>
      <c r="IGU1" s="159"/>
      <c r="IGV1" s="159"/>
      <c r="IGW1" s="159"/>
      <c r="IGX1" s="159"/>
      <c r="IGY1" s="159"/>
      <c r="IGZ1" s="159"/>
      <c r="IHA1" s="159"/>
      <c r="IHB1" s="159"/>
      <c r="IHC1" s="159"/>
      <c r="IHD1" s="159"/>
      <c r="IHE1" s="159"/>
      <c r="IHF1" s="159"/>
      <c r="IHG1" s="159"/>
      <c r="IHH1" s="159"/>
      <c r="IHI1" s="159"/>
      <c r="IHJ1" s="159"/>
      <c r="IHK1" s="159"/>
      <c r="IHL1" s="159"/>
      <c r="IHM1" s="159"/>
      <c r="IHN1" s="159"/>
      <c r="IHO1" s="159"/>
      <c r="IHP1" s="159"/>
      <c r="IHQ1" s="159"/>
      <c r="IHR1" s="159"/>
      <c r="IHS1" s="159"/>
      <c r="IHT1" s="159"/>
      <c r="IHU1" s="159"/>
      <c r="IHV1" s="159"/>
      <c r="IHW1" s="159"/>
      <c r="IHX1" s="159"/>
      <c r="IHY1" s="159"/>
      <c r="IHZ1" s="159"/>
      <c r="IIA1" s="159"/>
      <c r="IIB1" s="159"/>
      <c r="IIC1" s="159"/>
      <c r="IID1" s="159"/>
      <c r="IIE1" s="159"/>
      <c r="IIF1" s="159"/>
      <c r="IIG1" s="159"/>
      <c r="IIH1" s="159"/>
      <c r="III1" s="159"/>
      <c r="IIJ1" s="159"/>
      <c r="IIK1" s="159"/>
      <c r="IIL1" s="159"/>
      <c r="IIM1" s="159"/>
      <c r="IIN1" s="159"/>
      <c r="IIO1" s="159"/>
      <c r="IIP1" s="159"/>
      <c r="IIQ1" s="159"/>
      <c r="IIR1" s="159"/>
      <c r="IIS1" s="159"/>
      <c r="IIT1" s="159"/>
      <c r="IIU1" s="159"/>
      <c r="IIV1" s="159"/>
      <c r="IIW1" s="159"/>
      <c r="IIX1" s="159"/>
      <c r="IIY1" s="159"/>
      <c r="IIZ1" s="159"/>
      <c r="IJA1" s="159"/>
      <c r="IJB1" s="159"/>
      <c r="IJC1" s="159"/>
      <c r="IJD1" s="159"/>
      <c r="IJE1" s="159"/>
      <c r="IJF1" s="159"/>
      <c r="IJG1" s="159"/>
      <c r="IJH1" s="159"/>
      <c r="IJI1" s="159"/>
      <c r="IJJ1" s="159"/>
      <c r="IJK1" s="159"/>
      <c r="IJL1" s="159"/>
      <c r="IJM1" s="159"/>
      <c r="IJN1" s="159"/>
      <c r="IJO1" s="159"/>
      <c r="IJP1" s="159"/>
      <c r="IJQ1" s="159"/>
      <c r="IJR1" s="159"/>
      <c r="IJS1" s="159"/>
      <c r="IJT1" s="159"/>
      <c r="IJU1" s="159"/>
      <c r="IJV1" s="159"/>
      <c r="IJW1" s="159"/>
      <c r="IJX1" s="159"/>
      <c r="IJY1" s="159"/>
      <c r="IJZ1" s="159"/>
      <c r="IKA1" s="159"/>
      <c r="IKB1" s="159"/>
      <c r="IKC1" s="159"/>
      <c r="IKD1" s="159"/>
      <c r="IKE1" s="159"/>
      <c r="IKF1" s="159"/>
      <c r="IKG1" s="159"/>
      <c r="IKH1" s="159"/>
      <c r="IKI1" s="159"/>
      <c r="IKJ1" s="159"/>
      <c r="IKK1" s="159"/>
      <c r="IKL1" s="159"/>
      <c r="IKM1" s="159"/>
      <c r="IKN1" s="159"/>
      <c r="IKO1" s="159"/>
      <c r="IKP1" s="159"/>
      <c r="IKQ1" s="159"/>
      <c r="IKR1" s="159"/>
      <c r="IKS1" s="159"/>
      <c r="IKT1" s="159"/>
      <c r="IKU1" s="159"/>
      <c r="IKV1" s="159"/>
      <c r="IKW1" s="159"/>
      <c r="IKX1" s="159"/>
      <c r="IKY1" s="159"/>
      <c r="IKZ1" s="159"/>
      <c r="ILA1" s="159"/>
      <c r="ILB1" s="159"/>
      <c r="ILC1" s="159"/>
      <c r="ILD1" s="159"/>
      <c r="ILE1" s="159"/>
      <c r="ILF1" s="159"/>
      <c r="ILG1" s="159"/>
      <c r="ILH1" s="159"/>
      <c r="ILI1" s="159"/>
      <c r="ILJ1" s="159"/>
      <c r="ILK1" s="159"/>
      <c r="ILL1" s="159"/>
      <c r="ILM1" s="159"/>
      <c r="ILN1" s="159"/>
      <c r="ILO1" s="159"/>
      <c r="ILP1" s="159"/>
      <c r="ILQ1" s="159"/>
      <c r="ILR1" s="159"/>
      <c r="ILS1" s="159"/>
      <c r="ILT1" s="159"/>
      <c r="INE1" s="159"/>
      <c r="INS1" s="159"/>
      <c r="INT1" s="159"/>
      <c r="INU1" s="159"/>
      <c r="INV1" s="159"/>
      <c r="INW1" s="159"/>
      <c r="INX1" s="159"/>
      <c r="INY1" s="159"/>
      <c r="INZ1" s="159"/>
      <c r="IOA1" s="159"/>
      <c r="IOB1" s="159"/>
      <c r="IOC1" s="159"/>
      <c r="IOD1" s="159"/>
      <c r="IOE1" s="159"/>
      <c r="IOF1" s="159"/>
      <c r="IOG1" s="159"/>
      <c r="IOH1" s="159"/>
      <c r="IOI1" s="159"/>
      <c r="IOJ1" s="159"/>
      <c r="IOK1" s="159"/>
      <c r="IOL1" s="159"/>
      <c r="IOM1" s="159"/>
      <c r="ION1" s="159"/>
      <c r="IOO1" s="159"/>
      <c r="IOP1" s="159"/>
      <c r="IOQ1" s="159"/>
      <c r="IOR1" s="159"/>
      <c r="IOS1" s="159"/>
      <c r="IOT1" s="159"/>
      <c r="IOU1" s="159"/>
      <c r="IOV1" s="159"/>
      <c r="IOW1" s="159"/>
      <c r="IOX1" s="159"/>
      <c r="IOY1" s="159"/>
      <c r="IOZ1" s="159"/>
      <c r="IPA1" s="159"/>
      <c r="IPB1" s="159"/>
      <c r="IPC1" s="159"/>
      <c r="IPD1" s="159"/>
      <c r="IPE1" s="159"/>
      <c r="IPF1" s="159"/>
      <c r="IPG1" s="159"/>
      <c r="IPH1" s="159"/>
      <c r="IPI1" s="159"/>
      <c r="IPJ1" s="159"/>
      <c r="IPK1" s="159"/>
      <c r="IPL1" s="159"/>
      <c r="IPM1" s="159"/>
      <c r="IPN1" s="159"/>
      <c r="IPO1" s="159"/>
      <c r="IPP1" s="159"/>
      <c r="IPQ1" s="159"/>
      <c r="IPR1" s="159"/>
      <c r="IPS1" s="159"/>
      <c r="IPT1" s="159"/>
      <c r="IPU1" s="159"/>
      <c r="IPV1" s="159"/>
      <c r="IPW1" s="159"/>
      <c r="IPX1" s="159"/>
      <c r="IPY1" s="159"/>
      <c r="IPZ1" s="159"/>
      <c r="IQA1" s="159"/>
      <c r="IQB1" s="159"/>
      <c r="IQC1" s="159"/>
      <c r="IQD1" s="159"/>
      <c r="IQE1" s="159"/>
      <c r="IQF1" s="159"/>
      <c r="IQG1" s="159"/>
      <c r="IQH1" s="159"/>
      <c r="IQI1" s="159"/>
      <c r="IQJ1" s="159"/>
      <c r="IQK1" s="159"/>
      <c r="IQL1" s="159"/>
      <c r="IQM1" s="159"/>
      <c r="IQN1" s="159"/>
      <c r="IQO1" s="159"/>
      <c r="IQP1" s="159"/>
      <c r="IQQ1" s="159"/>
      <c r="IQR1" s="159"/>
      <c r="IQS1" s="159"/>
      <c r="IQT1" s="159"/>
      <c r="IQU1" s="159"/>
      <c r="IQV1" s="159"/>
      <c r="IQW1" s="159"/>
      <c r="IQX1" s="159"/>
      <c r="IQY1" s="159"/>
      <c r="IQZ1" s="159"/>
      <c r="IRA1" s="159"/>
      <c r="IRB1" s="159"/>
      <c r="IRC1" s="159"/>
      <c r="IRD1" s="159"/>
      <c r="IRE1" s="159"/>
      <c r="IRF1" s="159"/>
      <c r="IRG1" s="159"/>
      <c r="IRH1" s="159"/>
      <c r="IRI1" s="159"/>
      <c r="IRJ1" s="159"/>
      <c r="IRK1" s="159"/>
      <c r="IRL1" s="159"/>
      <c r="IRM1" s="159"/>
      <c r="IRN1" s="159"/>
      <c r="IRO1" s="159"/>
      <c r="IRP1" s="159"/>
      <c r="IRQ1" s="159"/>
      <c r="IRR1" s="159"/>
      <c r="IRS1" s="159"/>
      <c r="IRT1" s="159"/>
      <c r="IRU1" s="159"/>
      <c r="IRV1" s="159"/>
      <c r="IRW1" s="159"/>
      <c r="IRX1" s="159"/>
      <c r="IRY1" s="159"/>
      <c r="IRZ1" s="159"/>
      <c r="ISA1" s="159"/>
      <c r="ISB1" s="159"/>
      <c r="ISC1" s="159"/>
      <c r="ISD1" s="159"/>
      <c r="ISE1" s="159"/>
      <c r="ISF1" s="159"/>
      <c r="ISG1" s="159"/>
      <c r="ISH1" s="159"/>
      <c r="ISI1" s="159"/>
      <c r="ISJ1" s="159"/>
      <c r="ISK1" s="159"/>
      <c r="ISL1" s="159"/>
      <c r="ISM1" s="159"/>
      <c r="ISN1" s="159"/>
      <c r="ISO1" s="159"/>
      <c r="ISP1" s="159"/>
      <c r="ISQ1" s="159"/>
      <c r="ISR1" s="159"/>
      <c r="ISS1" s="159"/>
      <c r="IST1" s="159"/>
      <c r="ISU1" s="159"/>
      <c r="ISV1" s="159"/>
      <c r="ISW1" s="159"/>
      <c r="ISX1" s="159"/>
      <c r="ISY1" s="159"/>
      <c r="ISZ1" s="159"/>
      <c r="ITA1" s="159"/>
      <c r="ITB1" s="159"/>
      <c r="ITC1" s="159"/>
      <c r="ITD1" s="159"/>
      <c r="ITE1" s="159"/>
      <c r="ITF1" s="159"/>
      <c r="ITG1" s="159"/>
      <c r="ITH1" s="159"/>
      <c r="ITI1" s="159"/>
      <c r="ITJ1" s="159"/>
      <c r="ITK1" s="159"/>
      <c r="ITL1" s="159"/>
      <c r="ITM1" s="159"/>
      <c r="ITN1" s="159"/>
      <c r="ITO1" s="159"/>
      <c r="ITP1" s="159"/>
      <c r="ITQ1" s="159"/>
      <c r="ITR1" s="159"/>
      <c r="ITS1" s="159"/>
      <c r="ITT1" s="159"/>
      <c r="ITU1" s="159"/>
      <c r="ITV1" s="159"/>
      <c r="ITW1" s="159"/>
      <c r="ITX1" s="159"/>
      <c r="ITY1" s="159"/>
      <c r="ITZ1" s="159"/>
      <c r="IUA1" s="159"/>
      <c r="IUB1" s="159"/>
      <c r="IUC1" s="159"/>
      <c r="IUD1" s="159"/>
      <c r="IUE1" s="159"/>
      <c r="IUF1" s="159"/>
      <c r="IUG1" s="159"/>
      <c r="IUH1" s="159"/>
      <c r="IUI1" s="159"/>
      <c r="IUJ1" s="159"/>
      <c r="IUK1" s="159"/>
      <c r="IUL1" s="159"/>
      <c r="IUM1" s="159"/>
      <c r="IUN1" s="159"/>
      <c r="IUO1" s="159"/>
      <c r="IUP1" s="159"/>
      <c r="IUQ1" s="159"/>
      <c r="IUR1" s="159"/>
      <c r="IUS1" s="159"/>
      <c r="IUT1" s="159"/>
      <c r="IUU1" s="159"/>
      <c r="IUV1" s="159"/>
      <c r="IUW1" s="159"/>
      <c r="IUX1" s="159"/>
      <c r="IUY1" s="159"/>
      <c r="IUZ1" s="159"/>
      <c r="IVA1" s="159"/>
      <c r="IVB1" s="159"/>
      <c r="IVC1" s="159"/>
      <c r="IVD1" s="159"/>
      <c r="IVE1" s="159"/>
      <c r="IVF1" s="159"/>
      <c r="IVG1" s="159"/>
      <c r="IVH1" s="159"/>
      <c r="IVI1" s="159"/>
      <c r="IVJ1" s="159"/>
      <c r="IVK1" s="159"/>
      <c r="IVL1" s="159"/>
      <c r="IVM1" s="159"/>
      <c r="IVN1" s="159"/>
      <c r="IVO1" s="159"/>
      <c r="IVP1" s="159"/>
      <c r="IXA1" s="159"/>
      <c r="IXO1" s="159"/>
      <c r="IXP1" s="159"/>
      <c r="IXQ1" s="159"/>
      <c r="IXR1" s="159"/>
      <c r="IXS1" s="159"/>
      <c r="IXT1" s="159"/>
      <c r="IXU1" s="159"/>
      <c r="IXV1" s="159"/>
      <c r="IXW1" s="159"/>
      <c r="IXX1" s="159"/>
      <c r="IXY1" s="159"/>
      <c r="IXZ1" s="159"/>
      <c r="IYA1" s="159"/>
      <c r="IYB1" s="159"/>
      <c r="IYC1" s="159"/>
      <c r="IYD1" s="159"/>
      <c r="IYE1" s="159"/>
      <c r="IYF1" s="159"/>
      <c r="IYG1" s="159"/>
      <c r="IYH1" s="159"/>
      <c r="IYI1" s="159"/>
      <c r="IYJ1" s="159"/>
      <c r="IYK1" s="159"/>
      <c r="IYL1" s="159"/>
      <c r="IYM1" s="159"/>
      <c r="IYN1" s="159"/>
      <c r="IYO1" s="159"/>
      <c r="IYP1" s="159"/>
      <c r="IYQ1" s="159"/>
      <c r="IYR1" s="159"/>
      <c r="IYS1" s="159"/>
      <c r="IYT1" s="159"/>
      <c r="IYU1" s="159"/>
      <c r="IYV1" s="159"/>
      <c r="IYW1" s="159"/>
      <c r="IYX1" s="159"/>
      <c r="IYY1" s="159"/>
      <c r="IYZ1" s="159"/>
      <c r="IZA1" s="159"/>
      <c r="IZB1" s="159"/>
      <c r="IZC1" s="159"/>
      <c r="IZD1" s="159"/>
      <c r="IZE1" s="159"/>
      <c r="IZF1" s="159"/>
      <c r="IZG1" s="159"/>
      <c r="IZH1" s="159"/>
      <c r="IZI1" s="159"/>
      <c r="IZJ1" s="159"/>
      <c r="IZK1" s="159"/>
      <c r="IZL1" s="159"/>
      <c r="IZM1" s="159"/>
      <c r="IZN1" s="159"/>
      <c r="IZO1" s="159"/>
      <c r="IZP1" s="159"/>
      <c r="IZQ1" s="159"/>
      <c r="IZR1" s="159"/>
      <c r="IZS1" s="159"/>
      <c r="IZT1" s="159"/>
      <c r="IZU1" s="159"/>
      <c r="IZV1" s="159"/>
      <c r="IZW1" s="159"/>
      <c r="IZX1" s="159"/>
      <c r="IZY1" s="159"/>
      <c r="IZZ1" s="159"/>
      <c r="JAA1" s="159"/>
      <c r="JAB1" s="159"/>
      <c r="JAC1" s="159"/>
      <c r="JAD1" s="159"/>
      <c r="JAE1" s="159"/>
      <c r="JAF1" s="159"/>
      <c r="JAG1" s="159"/>
      <c r="JAH1" s="159"/>
      <c r="JAI1" s="159"/>
      <c r="JAJ1" s="159"/>
      <c r="JAK1" s="159"/>
      <c r="JAL1" s="159"/>
      <c r="JAM1" s="159"/>
      <c r="JAN1" s="159"/>
      <c r="JAO1" s="159"/>
      <c r="JAP1" s="159"/>
      <c r="JAQ1" s="159"/>
      <c r="JAR1" s="159"/>
      <c r="JAS1" s="159"/>
      <c r="JAT1" s="159"/>
      <c r="JAU1" s="159"/>
      <c r="JAV1" s="159"/>
      <c r="JAW1" s="159"/>
      <c r="JAX1" s="159"/>
      <c r="JAY1" s="159"/>
      <c r="JAZ1" s="159"/>
      <c r="JBA1" s="159"/>
      <c r="JBB1" s="159"/>
      <c r="JBC1" s="159"/>
      <c r="JBD1" s="159"/>
      <c r="JBE1" s="159"/>
      <c r="JBF1" s="159"/>
      <c r="JBG1" s="159"/>
      <c r="JBH1" s="159"/>
      <c r="JBI1" s="159"/>
      <c r="JBJ1" s="159"/>
      <c r="JBK1" s="159"/>
      <c r="JBL1" s="159"/>
      <c r="JBM1" s="159"/>
      <c r="JBN1" s="159"/>
      <c r="JBO1" s="159"/>
      <c r="JBP1" s="159"/>
      <c r="JBQ1" s="159"/>
      <c r="JBR1" s="159"/>
      <c r="JBS1" s="159"/>
      <c r="JBT1" s="159"/>
      <c r="JBU1" s="159"/>
      <c r="JBV1" s="159"/>
      <c r="JBW1" s="159"/>
      <c r="JBX1" s="159"/>
      <c r="JBY1" s="159"/>
      <c r="JBZ1" s="159"/>
      <c r="JCA1" s="159"/>
      <c r="JCB1" s="159"/>
      <c r="JCC1" s="159"/>
      <c r="JCD1" s="159"/>
      <c r="JCE1" s="159"/>
      <c r="JCF1" s="159"/>
      <c r="JCG1" s="159"/>
      <c r="JCH1" s="159"/>
      <c r="JCI1" s="159"/>
      <c r="JCJ1" s="159"/>
      <c r="JCK1" s="159"/>
      <c r="JCL1" s="159"/>
      <c r="JCM1" s="159"/>
      <c r="JCN1" s="159"/>
      <c r="JCO1" s="159"/>
      <c r="JCP1" s="159"/>
      <c r="JCQ1" s="159"/>
      <c r="JCR1" s="159"/>
      <c r="JCS1" s="159"/>
      <c r="JCT1" s="159"/>
      <c r="JCU1" s="159"/>
      <c r="JCV1" s="159"/>
      <c r="JCW1" s="159"/>
      <c r="JCX1" s="159"/>
      <c r="JCY1" s="159"/>
      <c r="JCZ1" s="159"/>
      <c r="JDA1" s="159"/>
      <c r="JDB1" s="159"/>
      <c r="JDC1" s="159"/>
      <c r="JDD1" s="159"/>
      <c r="JDE1" s="159"/>
      <c r="JDF1" s="159"/>
      <c r="JDG1" s="159"/>
      <c r="JDH1" s="159"/>
      <c r="JDI1" s="159"/>
      <c r="JDJ1" s="159"/>
      <c r="JDK1" s="159"/>
      <c r="JDL1" s="159"/>
      <c r="JDM1" s="159"/>
      <c r="JDN1" s="159"/>
      <c r="JDO1" s="159"/>
      <c r="JDP1" s="159"/>
      <c r="JDQ1" s="159"/>
      <c r="JDR1" s="159"/>
      <c r="JDS1" s="159"/>
      <c r="JDT1" s="159"/>
      <c r="JDU1" s="159"/>
      <c r="JDV1" s="159"/>
      <c r="JDW1" s="159"/>
      <c r="JDX1" s="159"/>
      <c r="JDY1" s="159"/>
      <c r="JDZ1" s="159"/>
      <c r="JEA1" s="159"/>
      <c r="JEB1" s="159"/>
      <c r="JEC1" s="159"/>
      <c r="JED1" s="159"/>
      <c r="JEE1" s="159"/>
      <c r="JEF1" s="159"/>
      <c r="JEG1" s="159"/>
      <c r="JEH1" s="159"/>
      <c r="JEI1" s="159"/>
      <c r="JEJ1" s="159"/>
      <c r="JEK1" s="159"/>
      <c r="JEL1" s="159"/>
      <c r="JEM1" s="159"/>
      <c r="JEN1" s="159"/>
      <c r="JEO1" s="159"/>
      <c r="JEP1" s="159"/>
      <c r="JEQ1" s="159"/>
      <c r="JER1" s="159"/>
      <c r="JES1" s="159"/>
      <c r="JET1" s="159"/>
      <c r="JEU1" s="159"/>
      <c r="JEV1" s="159"/>
      <c r="JEW1" s="159"/>
      <c r="JEX1" s="159"/>
      <c r="JEY1" s="159"/>
      <c r="JEZ1" s="159"/>
      <c r="JFA1" s="159"/>
      <c r="JFB1" s="159"/>
      <c r="JFC1" s="159"/>
      <c r="JFD1" s="159"/>
      <c r="JFE1" s="159"/>
      <c r="JFF1" s="159"/>
      <c r="JFG1" s="159"/>
      <c r="JFH1" s="159"/>
      <c r="JFI1" s="159"/>
      <c r="JFJ1" s="159"/>
      <c r="JFK1" s="159"/>
      <c r="JFL1" s="159"/>
      <c r="JGW1" s="159"/>
      <c r="JHK1" s="159"/>
      <c r="JHL1" s="159"/>
      <c r="JHM1" s="159"/>
      <c r="JHN1" s="159"/>
      <c r="JHO1" s="159"/>
      <c r="JHP1" s="159"/>
      <c r="JHQ1" s="159"/>
      <c r="JHR1" s="159"/>
      <c r="JHS1" s="159"/>
      <c r="JHT1" s="159"/>
      <c r="JHU1" s="159"/>
      <c r="JHV1" s="159"/>
      <c r="JHW1" s="159"/>
      <c r="JHX1" s="159"/>
      <c r="JHY1" s="159"/>
      <c r="JHZ1" s="159"/>
      <c r="JIA1" s="159"/>
      <c r="JIB1" s="159"/>
      <c r="JIC1" s="159"/>
      <c r="JID1" s="159"/>
      <c r="JIE1" s="159"/>
      <c r="JIF1" s="159"/>
      <c r="JIG1" s="159"/>
      <c r="JIH1" s="159"/>
      <c r="JII1" s="159"/>
      <c r="JIJ1" s="159"/>
      <c r="JIK1" s="159"/>
      <c r="JIL1" s="159"/>
      <c r="JIM1" s="159"/>
      <c r="JIN1" s="159"/>
      <c r="JIO1" s="159"/>
      <c r="JIP1" s="159"/>
      <c r="JIQ1" s="159"/>
      <c r="JIR1" s="159"/>
      <c r="JIS1" s="159"/>
      <c r="JIT1" s="159"/>
      <c r="JIU1" s="159"/>
      <c r="JIV1" s="159"/>
      <c r="JIW1" s="159"/>
      <c r="JIX1" s="159"/>
      <c r="JIY1" s="159"/>
      <c r="JIZ1" s="159"/>
      <c r="JJA1" s="159"/>
      <c r="JJB1" s="159"/>
      <c r="JJC1" s="159"/>
      <c r="JJD1" s="159"/>
      <c r="JJE1" s="159"/>
      <c r="JJF1" s="159"/>
      <c r="JJG1" s="159"/>
      <c r="JJH1" s="159"/>
      <c r="JJI1" s="159"/>
      <c r="JJJ1" s="159"/>
      <c r="JJK1" s="159"/>
      <c r="JJL1" s="159"/>
      <c r="JJM1" s="159"/>
      <c r="JJN1" s="159"/>
      <c r="JJO1" s="159"/>
      <c r="JJP1" s="159"/>
      <c r="JJQ1" s="159"/>
      <c r="JJR1" s="159"/>
      <c r="JJS1" s="159"/>
      <c r="JJT1" s="159"/>
      <c r="JJU1" s="159"/>
      <c r="JJV1" s="159"/>
      <c r="JJW1" s="159"/>
      <c r="JJX1" s="159"/>
      <c r="JJY1" s="159"/>
      <c r="JJZ1" s="159"/>
      <c r="JKA1" s="159"/>
      <c r="JKB1" s="159"/>
      <c r="JKC1" s="159"/>
      <c r="JKD1" s="159"/>
      <c r="JKE1" s="159"/>
      <c r="JKF1" s="159"/>
      <c r="JKG1" s="159"/>
      <c r="JKH1" s="159"/>
      <c r="JKI1" s="159"/>
      <c r="JKJ1" s="159"/>
      <c r="JKK1" s="159"/>
      <c r="JKL1" s="159"/>
      <c r="JKM1" s="159"/>
      <c r="JKN1" s="159"/>
      <c r="JKO1" s="159"/>
      <c r="JKP1" s="159"/>
      <c r="JKQ1" s="159"/>
      <c r="JKR1" s="159"/>
      <c r="JKS1" s="159"/>
      <c r="JKT1" s="159"/>
      <c r="JKU1" s="159"/>
      <c r="JKV1" s="159"/>
      <c r="JKW1" s="159"/>
      <c r="JKX1" s="159"/>
      <c r="JKY1" s="159"/>
      <c r="JKZ1" s="159"/>
      <c r="JLA1" s="159"/>
      <c r="JLB1" s="159"/>
      <c r="JLC1" s="159"/>
      <c r="JLD1" s="159"/>
      <c r="JLE1" s="159"/>
      <c r="JLF1" s="159"/>
      <c r="JLG1" s="159"/>
      <c r="JLH1" s="159"/>
      <c r="JLI1" s="159"/>
      <c r="JLJ1" s="159"/>
      <c r="JLK1" s="159"/>
      <c r="JLL1" s="159"/>
      <c r="JLM1" s="159"/>
      <c r="JLN1" s="159"/>
      <c r="JLO1" s="159"/>
      <c r="JLP1" s="159"/>
      <c r="JLQ1" s="159"/>
      <c r="JLR1" s="159"/>
      <c r="JLS1" s="159"/>
      <c r="JLT1" s="159"/>
      <c r="JLU1" s="159"/>
      <c r="JLV1" s="159"/>
      <c r="JLW1" s="159"/>
      <c r="JLX1" s="159"/>
      <c r="JLY1" s="159"/>
      <c r="JLZ1" s="159"/>
      <c r="JMA1" s="159"/>
      <c r="JMB1" s="159"/>
      <c r="JMC1" s="159"/>
      <c r="JMD1" s="159"/>
      <c r="JME1" s="159"/>
      <c r="JMF1" s="159"/>
      <c r="JMG1" s="159"/>
      <c r="JMH1" s="159"/>
      <c r="JMI1" s="159"/>
      <c r="JMJ1" s="159"/>
      <c r="JMK1" s="159"/>
      <c r="JML1" s="159"/>
      <c r="JMM1" s="159"/>
      <c r="JMN1" s="159"/>
      <c r="JMO1" s="159"/>
      <c r="JMP1" s="159"/>
      <c r="JMQ1" s="159"/>
      <c r="JMR1" s="159"/>
      <c r="JMS1" s="159"/>
      <c r="JMT1" s="159"/>
      <c r="JMU1" s="159"/>
      <c r="JMV1" s="159"/>
      <c r="JMW1" s="159"/>
      <c r="JMX1" s="159"/>
      <c r="JMY1" s="159"/>
      <c r="JMZ1" s="159"/>
      <c r="JNA1" s="159"/>
      <c r="JNB1" s="159"/>
      <c r="JNC1" s="159"/>
      <c r="JND1" s="159"/>
      <c r="JNE1" s="159"/>
      <c r="JNF1" s="159"/>
      <c r="JNG1" s="159"/>
      <c r="JNH1" s="159"/>
      <c r="JNI1" s="159"/>
      <c r="JNJ1" s="159"/>
      <c r="JNK1" s="159"/>
      <c r="JNL1" s="159"/>
      <c r="JNM1" s="159"/>
      <c r="JNN1" s="159"/>
      <c r="JNO1" s="159"/>
      <c r="JNP1" s="159"/>
      <c r="JNQ1" s="159"/>
      <c r="JNR1" s="159"/>
      <c r="JNS1" s="159"/>
      <c r="JNT1" s="159"/>
      <c r="JNU1" s="159"/>
      <c r="JNV1" s="159"/>
      <c r="JNW1" s="159"/>
      <c r="JNX1" s="159"/>
      <c r="JNY1" s="159"/>
      <c r="JNZ1" s="159"/>
      <c r="JOA1" s="159"/>
      <c r="JOB1" s="159"/>
      <c r="JOC1" s="159"/>
      <c r="JOD1" s="159"/>
      <c r="JOE1" s="159"/>
      <c r="JOF1" s="159"/>
      <c r="JOG1" s="159"/>
      <c r="JOH1" s="159"/>
      <c r="JOI1" s="159"/>
      <c r="JOJ1" s="159"/>
      <c r="JOK1" s="159"/>
      <c r="JOL1" s="159"/>
      <c r="JOM1" s="159"/>
      <c r="JON1" s="159"/>
      <c r="JOO1" s="159"/>
      <c r="JOP1" s="159"/>
      <c r="JOQ1" s="159"/>
      <c r="JOR1" s="159"/>
      <c r="JOS1" s="159"/>
      <c r="JOT1" s="159"/>
      <c r="JOU1" s="159"/>
      <c r="JOV1" s="159"/>
      <c r="JOW1" s="159"/>
      <c r="JOX1" s="159"/>
      <c r="JOY1" s="159"/>
      <c r="JOZ1" s="159"/>
      <c r="JPA1" s="159"/>
      <c r="JPB1" s="159"/>
      <c r="JPC1" s="159"/>
      <c r="JPD1" s="159"/>
      <c r="JPE1" s="159"/>
      <c r="JPF1" s="159"/>
      <c r="JPG1" s="159"/>
      <c r="JPH1" s="159"/>
      <c r="JQS1" s="159"/>
      <c r="JRG1" s="159"/>
      <c r="JRH1" s="159"/>
      <c r="JRI1" s="159"/>
      <c r="JRJ1" s="159"/>
      <c r="JRK1" s="159"/>
      <c r="JRL1" s="159"/>
      <c r="JRM1" s="159"/>
      <c r="JRN1" s="159"/>
      <c r="JRO1" s="159"/>
      <c r="JRP1" s="159"/>
      <c r="JRQ1" s="159"/>
      <c r="JRR1" s="159"/>
      <c r="JRS1" s="159"/>
      <c r="JRT1" s="159"/>
      <c r="JRU1" s="159"/>
      <c r="JRV1" s="159"/>
      <c r="JRW1" s="159"/>
      <c r="JRX1" s="159"/>
      <c r="JRY1" s="159"/>
      <c r="JRZ1" s="159"/>
      <c r="JSA1" s="159"/>
      <c r="JSB1" s="159"/>
      <c r="JSC1" s="159"/>
      <c r="JSD1" s="159"/>
      <c r="JSE1" s="159"/>
      <c r="JSF1" s="159"/>
      <c r="JSG1" s="159"/>
      <c r="JSH1" s="159"/>
      <c r="JSI1" s="159"/>
      <c r="JSJ1" s="159"/>
      <c r="JSK1" s="159"/>
      <c r="JSL1" s="159"/>
      <c r="JSM1" s="159"/>
      <c r="JSN1" s="159"/>
      <c r="JSO1" s="159"/>
      <c r="JSP1" s="159"/>
      <c r="JSQ1" s="159"/>
      <c r="JSR1" s="159"/>
      <c r="JSS1" s="159"/>
      <c r="JST1" s="159"/>
      <c r="JSU1" s="159"/>
      <c r="JSV1" s="159"/>
      <c r="JSW1" s="159"/>
      <c r="JSX1" s="159"/>
      <c r="JSY1" s="159"/>
      <c r="JSZ1" s="159"/>
      <c r="JTA1" s="159"/>
      <c r="JTB1" s="159"/>
      <c r="JTC1" s="159"/>
      <c r="JTD1" s="159"/>
      <c r="JTE1" s="159"/>
      <c r="JTF1" s="159"/>
      <c r="JTG1" s="159"/>
      <c r="JTH1" s="159"/>
      <c r="JTI1" s="159"/>
      <c r="JTJ1" s="159"/>
      <c r="JTK1" s="159"/>
      <c r="JTL1" s="159"/>
      <c r="JTM1" s="159"/>
      <c r="JTN1" s="159"/>
      <c r="JTO1" s="159"/>
      <c r="JTP1" s="159"/>
      <c r="JTQ1" s="159"/>
      <c r="JTR1" s="159"/>
      <c r="JTS1" s="159"/>
      <c r="JTT1" s="159"/>
      <c r="JTU1" s="159"/>
      <c r="JTV1" s="159"/>
      <c r="JTW1" s="159"/>
      <c r="JTX1" s="159"/>
      <c r="JTY1" s="159"/>
      <c r="JTZ1" s="159"/>
      <c r="JUA1" s="159"/>
      <c r="JUB1" s="159"/>
      <c r="JUC1" s="159"/>
      <c r="JUD1" s="159"/>
      <c r="JUE1" s="159"/>
      <c r="JUF1" s="159"/>
      <c r="JUG1" s="159"/>
      <c r="JUH1" s="159"/>
      <c r="JUI1" s="159"/>
      <c r="JUJ1" s="159"/>
      <c r="JUK1" s="159"/>
      <c r="JUL1" s="159"/>
      <c r="JUM1" s="159"/>
      <c r="JUN1" s="159"/>
      <c r="JUO1" s="159"/>
      <c r="JUP1" s="159"/>
      <c r="JUQ1" s="159"/>
      <c r="JUR1" s="159"/>
      <c r="JUS1" s="159"/>
      <c r="JUT1" s="159"/>
      <c r="JUU1" s="159"/>
      <c r="JUV1" s="159"/>
      <c r="JUW1" s="159"/>
      <c r="JUX1" s="159"/>
      <c r="JUY1" s="159"/>
      <c r="JUZ1" s="159"/>
      <c r="JVA1" s="159"/>
      <c r="JVB1" s="159"/>
      <c r="JVC1" s="159"/>
      <c r="JVD1" s="159"/>
      <c r="JVE1" s="159"/>
      <c r="JVF1" s="159"/>
      <c r="JVG1" s="159"/>
      <c r="JVH1" s="159"/>
      <c r="JVI1" s="159"/>
      <c r="JVJ1" s="159"/>
      <c r="JVK1" s="159"/>
      <c r="JVL1" s="159"/>
      <c r="JVM1" s="159"/>
      <c r="JVN1" s="159"/>
      <c r="JVO1" s="159"/>
      <c r="JVP1" s="159"/>
      <c r="JVQ1" s="159"/>
      <c r="JVR1" s="159"/>
      <c r="JVS1" s="159"/>
      <c r="JVT1" s="159"/>
      <c r="JVU1" s="159"/>
      <c r="JVV1" s="159"/>
      <c r="JVW1" s="159"/>
      <c r="JVX1" s="159"/>
      <c r="JVY1" s="159"/>
      <c r="JVZ1" s="159"/>
      <c r="JWA1" s="159"/>
      <c r="JWB1" s="159"/>
      <c r="JWC1" s="159"/>
      <c r="JWD1" s="159"/>
      <c r="JWE1" s="159"/>
      <c r="JWF1" s="159"/>
      <c r="JWG1" s="159"/>
      <c r="JWH1" s="159"/>
      <c r="JWI1" s="159"/>
      <c r="JWJ1" s="159"/>
      <c r="JWK1" s="159"/>
      <c r="JWL1" s="159"/>
      <c r="JWM1" s="159"/>
      <c r="JWN1" s="159"/>
      <c r="JWO1" s="159"/>
      <c r="JWP1" s="159"/>
      <c r="JWQ1" s="159"/>
      <c r="JWR1" s="159"/>
      <c r="JWS1" s="159"/>
      <c r="JWT1" s="159"/>
      <c r="JWU1" s="159"/>
      <c r="JWV1" s="159"/>
      <c r="JWW1" s="159"/>
      <c r="JWX1" s="159"/>
      <c r="JWY1" s="159"/>
      <c r="JWZ1" s="159"/>
      <c r="JXA1" s="159"/>
      <c r="JXB1" s="159"/>
      <c r="JXC1" s="159"/>
      <c r="JXD1" s="159"/>
      <c r="JXE1" s="159"/>
      <c r="JXF1" s="159"/>
      <c r="JXG1" s="159"/>
      <c r="JXH1" s="159"/>
      <c r="JXI1" s="159"/>
      <c r="JXJ1" s="159"/>
      <c r="JXK1" s="159"/>
      <c r="JXL1" s="159"/>
      <c r="JXM1" s="159"/>
      <c r="JXN1" s="159"/>
      <c r="JXO1" s="159"/>
      <c r="JXP1" s="159"/>
      <c r="JXQ1" s="159"/>
      <c r="JXR1" s="159"/>
      <c r="JXS1" s="159"/>
      <c r="JXT1" s="159"/>
      <c r="JXU1" s="159"/>
      <c r="JXV1" s="159"/>
      <c r="JXW1" s="159"/>
      <c r="JXX1" s="159"/>
      <c r="JXY1" s="159"/>
      <c r="JXZ1" s="159"/>
      <c r="JYA1" s="159"/>
      <c r="JYB1" s="159"/>
      <c r="JYC1" s="159"/>
      <c r="JYD1" s="159"/>
      <c r="JYE1" s="159"/>
      <c r="JYF1" s="159"/>
      <c r="JYG1" s="159"/>
      <c r="JYH1" s="159"/>
      <c r="JYI1" s="159"/>
      <c r="JYJ1" s="159"/>
      <c r="JYK1" s="159"/>
      <c r="JYL1" s="159"/>
      <c r="JYM1" s="159"/>
      <c r="JYN1" s="159"/>
      <c r="JYO1" s="159"/>
      <c r="JYP1" s="159"/>
      <c r="JYQ1" s="159"/>
      <c r="JYR1" s="159"/>
      <c r="JYS1" s="159"/>
      <c r="JYT1" s="159"/>
      <c r="JYU1" s="159"/>
      <c r="JYV1" s="159"/>
      <c r="JYW1" s="159"/>
      <c r="JYX1" s="159"/>
      <c r="JYY1" s="159"/>
      <c r="JYZ1" s="159"/>
      <c r="JZA1" s="159"/>
      <c r="JZB1" s="159"/>
      <c r="JZC1" s="159"/>
      <c r="JZD1" s="159"/>
      <c r="KAO1" s="159"/>
      <c r="KBC1" s="159"/>
      <c r="KBD1" s="159"/>
      <c r="KBE1" s="159"/>
      <c r="KBF1" s="159"/>
      <c r="KBG1" s="159"/>
      <c r="KBH1" s="159"/>
      <c r="KBI1" s="159"/>
      <c r="KBJ1" s="159"/>
      <c r="KBK1" s="159"/>
      <c r="KBL1" s="159"/>
      <c r="KBM1" s="159"/>
      <c r="KBN1" s="159"/>
      <c r="KBO1" s="159"/>
      <c r="KBP1" s="159"/>
      <c r="KBQ1" s="159"/>
      <c r="KBR1" s="159"/>
      <c r="KBS1" s="159"/>
      <c r="KBT1" s="159"/>
      <c r="KBU1" s="159"/>
      <c r="KBV1" s="159"/>
      <c r="KBW1" s="159"/>
      <c r="KBX1" s="159"/>
      <c r="KBY1" s="159"/>
      <c r="KBZ1" s="159"/>
      <c r="KCA1" s="159"/>
      <c r="KCB1" s="159"/>
      <c r="KCC1" s="159"/>
      <c r="KCD1" s="159"/>
      <c r="KCE1" s="159"/>
      <c r="KCF1" s="159"/>
      <c r="KCG1" s="159"/>
      <c r="KCH1" s="159"/>
      <c r="KCI1" s="159"/>
      <c r="KCJ1" s="159"/>
      <c r="KCK1" s="159"/>
      <c r="KCL1" s="159"/>
      <c r="KCM1" s="159"/>
      <c r="KCN1" s="159"/>
      <c r="KCO1" s="159"/>
      <c r="KCP1" s="159"/>
      <c r="KCQ1" s="159"/>
      <c r="KCR1" s="159"/>
      <c r="KCS1" s="159"/>
      <c r="KCT1" s="159"/>
      <c r="KCU1" s="159"/>
      <c r="KCV1" s="159"/>
      <c r="KCW1" s="159"/>
      <c r="KCX1" s="159"/>
      <c r="KCY1" s="159"/>
      <c r="KCZ1" s="159"/>
      <c r="KDA1" s="159"/>
      <c r="KDB1" s="159"/>
      <c r="KDC1" s="159"/>
      <c r="KDD1" s="159"/>
      <c r="KDE1" s="159"/>
      <c r="KDF1" s="159"/>
      <c r="KDG1" s="159"/>
      <c r="KDH1" s="159"/>
      <c r="KDI1" s="159"/>
      <c r="KDJ1" s="159"/>
      <c r="KDK1" s="159"/>
      <c r="KDL1" s="159"/>
      <c r="KDM1" s="159"/>
      <c r="KDN1" s="159"/>
      <c r="KDO1" s="159"/>
      <c r="KDP1" s="159"/>
      <c r="KDQ1" s="159"/>
      <c r="KDR1" s="159"/>
      <c r="KDS1" s="159"/>
      <c r="KDT1" s="159"/>
      <c r="KDU1" s="159"/>
      <c r="KDV1" s="159"/>
      <c r="KDW1" s="159"/>
      <c r="KDX1" s="159"/>
      <c r="KDY1" s="159"/>
      <c r="KDZ1" s="159"/>
      <c r="KEA1" s="159"/>
      <c r="KEB1" s="159"/>
      <c r="KEC1" s="159"/>
      <c r="KED1" s="159"/>
      <c r="KEE1" s="159"/>
      <c r="KEF1" s="159"/>
      <c r="KEG1" s="159"/>
      <c r="KEH1" s="159"/>
      <c r="KEI1" s="159"/>
      <c r="KEJ1" s="159"/>
      <c r="KEK1" s="159"/>
      <c r="KEL1" s="159"/>
      <c r="KEM1" s="159"/>
      <c r="KEN1" s="159"/>
      <c r="KEO1" s="159"/>
      <c r="KEP1" s="159"/>
      <c r="KEQ1" s="159"/>
      <c r="KER1" s="159"/>
      <c r="KES1" s="159"/>
      <c r="KET1" s="159"/>
      <c r="KEU1" s="159"/>
      <c r="KEV1" s="159"/>
      <c r="KEW1" s="159"/>
      <c r="KEX1" s="159"/>
      <c r="KEY1" s="159"/>
      <c r="KEZ1" s="159"/>
      <c r="KFA1" s="159"/>
      <c r="KFB1" s="159"/>
      <c r="KFC1" s="159"/>
      <c r="KFD1" s="159"/>
      <c r="KFE1" s="159"/>
      <c r="KFF1" s="159"/>
      <c r="KFG1" s="159"/>
      <c r="KFH1" s="159"/>
      <c r="KFI1" s="159"/>
      <c r="KFJ1" s="159"/>
      <c r="KFK1" s="159"/>
      <c r="KFL1" s="159"/>
      <c r="KFM1" s="159"/>
      <c r="KFN1" s="159"/>
      <c r="KFO1" s="159"/>
      <c r="KFP1" s="159"/>
      <c r="KFQ1" s="159"/>
      <c r="KFR1" s="159"/>
      <c r="KFS1" s="159"/>
      <c r="KFT1" s="159"/>
      <c r="KFU1" s="159"/>
      <c r="KFV1" s="159"/>
      <c r="KFW1" s="159"/>
      <c r="KFX1" s="159"/>
      <c r="KFY1" s="159"/>
      <c r="KFZ1" s="159"/>
      <c r="KGA1" s="159"/>
      <c r="KGB1" s="159"/>
      <c r="KGC1" s="159"/>
      <c r="KGD1" s="159"/>
      <c r="KGE1" s="159"/>
      <c r="KGF1" s="159"/>
      <c r="KGG1" s="159"/>
      <c r="KGH1" s="159"/>
      <c r="KGI1" s="159"/>
      <c r="KGJ1" s="159"/>
      <c r="KGK1" s="159"/>
      <c r="KGL1" s="159"/>
      <c r="KGM1" s="159"/>
      <c r="KGN1" s="159"/>
      <c r="KGO1" s="159"/>
      <c r="KGP1" s="159"/>
      <c r="KGQ1" s="159"/>
      <c r="KGR1" s="159"/>
      <c r="KGS1" s="159"/>
      <c r="KGT1" s="159"/>
      <c r="KGU1" s="159"/>
      <c r="KGV1" s="159"/>
      <c r="KGW1" s="159"/>
      <c r="KGX1" s="159"/>
      <c r="KGY1" s="159"/>
      <c r="KGZ1" s="159"/>
      <c r="KHA1" s="159"/>
      <c r="KHB1" s="159"/>
      <c r="KHC1" s="159"/>
      <c r="KHD1" s="159"/>
      <c r="KHE1" s="159"/>
      <c r="KHF1" s="159"/>
      <c r="KHG1" s="159"/>
      <c r="KHH1" s="159"/>
      <c r="KHI1" s="159"/>
      <c r="KHJ1" s="159"/>
      <c r="KHK1" s="159"/>
      <c r="KHL1" s="159"/>
      <c r="KHM1" s="159"/>
      <c r="KHN1" s="159"/>
      <c r="KHO1" s="159"/>
      <c r="KHP1" s="159"/>
      <c r="KHQ1" s="159"/>
      <c r="KHR1" s="159"/>
      <c r="KHS1" s="159"/>
      <c r="KHT1" s="159"/>
      <c r="KHU1" s="159"/>
      <c r="KHV1" s="159"/>
      <c r="KHW1" s="159"/>
      <c r="KHX1" s="159"/>
      <c r="KHY1" s="159"/>
      <c r="KHZ1" s="159"/>
      <c r="KIA1" s="159"/>
      <c r="KIB1" s="159"/>
      <c r="KIC1" s="159"/>
      <c r="KID1" s="159"/>
      <c r="KIE1" s="159"/>
      <c r="KIF1" s="159"/>
      <c r="KIG1" s="159"/>
      <c r="KIH1" s="159"/>
      <c r="KII1" s="159"/>
      <c r="KIJ1" s="159"/>
      <c r="KIK1" s="159"/>
      <c r="KIL1" s="159"/>
      <c r="KIM1" s="159"/>
      <c r="KIN1" s="159"/>
      <c r="KIO1" s="159"/>
      <c r="KIP1" s="159"/>
      <c r="KIQ1" s="159"/>
      <c r="KIR1" s="159"/>
      <c r="KIS1" s="159"/>
      <c r="KIT1" s="159"/>
      <c r="KIU1" s="159"/>
      <c r="KIV1" s="159"/>
      <c r="KIW1" s="159"/>
      <c r="KIX1" s="159"/>
      <c r="KIY1" s="159"/>
      <c r="KIZ1" s="159"/>
      <c r="KKK1" s="159"/>
      <c r="KKY1" s="159"/>
      <c r="KKZ1" s="159"/>
      <c r="KLA1" s="159"/>
      <c r="KLB1" s="159"/>
      <c r="KLC1" s="159"/>
      <c r="KLD1" s="159"/>
      <c r="KLE1" s="159"/>
      <c r="KLF1" s="159"/>
      <c r="KLG1" s="159"/>
      <c r="KLH1" s="159"/>
      <c r="KLI1" s="159"/>
      <c r="KLJ1" s="159"/>
      <c r="KLK1" s="159"/>
      <c r="KLL1" s="159"/>
      <c r="KLM1" s="159"/>
      <c r="KLN1" s="159"/>
      <c r="KLO1" s="159"/>
      <c r="KLP1" s="159"/>
      <c r="KLQ1" s="159"/>
      <c r="KLR1" s="159"/>
      <c r="KLS1" s="159"/>
      <c r="KLT1" s="159"/>
      <c r="KLU1" s="159"/>
      <c r="KLV1" s="159"/>
      <c r="KLW1" s="159"/>
      <c r="KLX1" s="159"/>
      <c r="KLY1" s="159"/>
      <c r="KLZ1" s="159"/>
      <c r="KMA1" s="159"/>
      <c r="KMB1" s="159"/>
      <c r="KMC1" s="159"/>
      <c r="KMD1" s="159"/>
      <c r="KME1" s="159"/>
      <c r="KMF1" s="159"/>
      <c r="KMG1" s="159"/>
      <c r="KMH1" s="159"/>
      <c r="KMI1" s="159"/>
      <c r="KMJ1" s="159"/>
      <c r="KMK1" s="159"/>
      <c r="KML1" s="159"/>
      <c r="KMM1" s="159"/>
      <c r="KMN1" s="159"/>
      <c r="KMO1" s="159"/>
      <c r="KMP1" s="159"/>
      <c r="KMQ1" s="159"/>
      <c r="KMR1" s="159"/>
      <c r="KMS1" s="159"/>
      <c r="KMT1" s="159"/>
      <c r="KMU1" s="159"/>
      <c r="KMV1" s="159"/>
      <c r="KMW1" s="159"/>
      <c r="KMX1" s="159"/>
      <c r="KMY1" s="159"/>
      <c r="KMZ1" s="159"/>
      <c r="KNA1" s="159"/>
      <c r="KNB1" s="159"/>
      <c r="KNC1" s="159"/>
      <c r="KND1" s="159"/>
      <c r="KNE1" s="159"/>
      <c r="KNF1" s="159"/>
      <c r="KNG1" s="159"/>
      <c r="KNH1" s="159"/>
      <c r="KNI1" s="159"/>
      <c r="KNJ1" s="159"/>
      <c r="KNK1" s="159"/>
      <c r="KNL1" s="159"/>
      <c r="KNM1" s="159"/>
      <c r="KNN1" s="159"/>
      <c r="KNO1" s="159"/>
      <c r="KNP1" s="159"/>
      <c r="KNQ1" s="159"/>
      <c r="KNR1" s="159"/>
      <c r="KNS1" s="159"/>
      <c r="KNT1" s="159"/>
      <c r="KNU1" s="159"/>
      <c r="KNV1" s="159"/>
      <c r="KNW1" s="159"/>
      <c r="KNX1" s="159"/>
      <c r="KNY1" s="159"/>
      <c r="KNZ1" s="159"/>
      <c r="KOA1" s="159"/>
      <c r="KOB1" s="159"/>
      <c r="KOC1" s="159"/>
      <c r="KOD1" s="159"/>
      <c r="KOE1" s="159"/>
      <c r="KOF1" s="159"/>
      <c r="KOG1" s="159"/>
      <c r="KOH1" s="159"/>
      <c r="KOI1" s="159"/>
      <c r="KOJ1" s="159"/>
      <c r="KOK1" s="159"/>
      <c r="KOL1" s="159"/>
      <c r="KOM1" s="159"/>
      <c r="KON1" s="159"/>
      <c r="KOO1" s="159"/>
      <c r="KOP1" s="159"/>
      <c r="KOQ1" s="159"/>
      <c r="KOR1" s="159"/>
      <c r="KOS1" s="159"/>
      <c r="KOT1" s="159"/>
      <c r="KOU1" s="159"/>
      <c r="KOV1" s="159"/>
      <c r="KOW1" s="159"/>
      <c r="KOX1" s="159"/>
      <c r="KOY1" s="159"/>
      <c r="KOZ1" s="159"/>
      <c r="KPA1" s="159"/>
      <c r="KPB1" s="159"/>
      <c r="KPC1" s="159"/>
      <c r="KPD1" s="159"/>
      <c r="KPE1" s="159"/>
      <c r="KPF1" s="159"/>
      <c r="KPG1" s="159"/>
      <c r="KPH1" s="159"/>
      <c r="KPI1" s="159"/>
      <c r="KPJ1" s="159"/>
      <c r="KPK1" s="159"/>
      <c r="KPL1" s="159"/>
      <c r="KPM1" s="159"/>
      <c r="KPN1" s="159"/>
      <c r="KPO1" s="159"/>
      <c r="KPP1" s="159"/>
      <c r="KPQ1" s="159"/>
      <c r="KPR1" s="159"/>
      <c r="KPS1" s="159"/>
      <c r="KPT1" s="159"/>
      <c r="KPU1" s="159"/>
      <c r="KPV1" s="159"/>
      <c r="KPW1" s="159"/>
      <c r="KPX1" s="159"/>
      <c r="KPY1" s="159"/>
      <c r="KPZ1" s="159"/>
      <c r="KQA1" s="159"/>
      <c r="KQB1" s="159"/>
      <c r="KQC1" s="159"/>
      <c r="KQD1" s="159"/>
      <c r="KQE1" s="159"/>
      <c r="KQF1" s="159"/>
      <c r="KQG1" s="159"/>
      <c r="KQH1" s="159"/>
      <c r="KQI1" s="159"/>
      <c r="KQJ1" s="159"/>
      <c r="KQK1" s="159"/>
      <c r="KQL1" s="159"/>
      <c r="KQM1" s="159"/>
      <c r="KQN1" s="159"/>
      <c r="KQO1" s="159"/>
      <c r="KQP1" s="159"/>
      <c r="KQQ1" s="159"/>
      <c r="KQR1" s="159"/>
      <c r="KQS1" s="159"/>
      <c r="KQT1" s="159"/>
      <c r="KQU1" s="159"/>
      <c r="KQV1" s="159"/>
      <c r="KQW1" s="159"/>
      <c r="KQX1" s="159"/>
      <c r="KQY1" s="159"/>
      <c r="KQZ1" s="159"/>
      <c r="KRA1" s="159"/>
      <c r="KRB1" s="159"/>
      <c r="KRC1" s="159"/>
      <c r="KRD1" s="159"/>
      <c r="KRE1" s="159"/>
      <c r="KRF1" s="159"/>
      <c r="KRG1" s="159"/>
      <c r="KRH1" s="159"/>
      <c r="KRI1" s="159"/>
      <c r="KRJ1" s="159"/>
      <c r="KRK1" s="159"/>
      <c r="KRL1" s="159"/>
      <c r="KRM1" s="159"/>
      <c r="KRN1" s="159"/>
      <c r="KRO1" s="159"/>
      <c r="KRP1" s="159"/>
      <c r="KRQ1" s="159"/>
      <c r="KRR1" s="159"/>
      <c r="KRS1" s="159"/>
      <c r="KRT1" s="159"/>
      <c r="KRU1" s="159"/>
      <c r="KRV1" s="159"/>
      <c r="KRW1" s="159"/>
      <c r="KRX1" s="159"/>
      <c r="KRY1" s="159"/>
      <c r="KRZ1" s="159"/>
      <c r="KSA1" s="159"/>
      <c r="KSB1" s="159"/>
      <c r="KSC1" s="159"/>
      <c r="KSD1" s="159"/>
      <c r="KSE1" s="159"/>
      <c r="KSF1" s="159"/>
      <c r="KSG1" s="159"/>
      <c r="KSH1" s="159"/>
      <c r="KSI1" s="159"/>
      <c r="KSJ1" s="159"/>
      <c r="KSK1" s="159"/>
      <c r="KSL1" s="159"/>
      <c r="KSM1" s="159"/>
      <c r="KSN1" s="159"/>
      <c r="KSO1" s="159"/>
      <c r="KSP1" s="159"/>
      <c r="KSQ1" s="159"/>
      <c r="KSR1" s="159"/>
      <c r="KSS1" s="159"/>
      <c r="KST1" s="159"/>
      <c r="KSU1" s="159"/>
      <c r="KSV1" s="159"/>
      <c r="KUG1" s="159"/>
      <c r="KUU1" s="159"/>
      <c r="KUV1" s="159"/>
      <c r="KUW1" s="159"/>
      <c r="KUX1" s="159"/>
      <c r="KUY1" s="159"/>
      <c r="KUZ1" s="159"/>
      <c r="KVA1" s="159"/>
      <c r="KVB1" s="159"/>
      <c r="KVC1" s="159"/>
      <c r="KVD1" s="159"/>
      <c r="KVE1" s="159"/>
      <c r="KVF1" s="159"/>
      <c r="KVG1" s="159"/>
      <c r="KVH1" s="159"/>
      <c r="KVI1" s="159"/>
      <c r="KVJ1" s="159"/>
      <c r="KVK1" s="159"/>
      <c r="KVL1" s="159"/>
      <c r="KVM1" s="159"/>
      <c r="KVN1" s="159"/>
      <c r="KVO1" s="159"/>
      <c r="KVP1" s="159"/>
      <c r="KVQ1" s="159"/>
      <c r="KVR1" s="159"/>
      <c r="KVS1" s="159"/>
      <c r="KVT1" s="159"/>
      <c r="KVU1" s="159"/>
      <c r="KVV1" s="159"/>
      <c r="KVW1" s="159"/>
      <c r="KVX1" s="159"/>
      <c r="KVY1" s="159"/>
      <c r="KVZ1" s="159"/>
      <c r="KWA1" s="159"/>
      <c r="KWB1" s="159"/>
      <c r="KWC1" s="159"/>
      <c r="KWD1" s="159"/>
      <c r="KWE1" s="159"/>
      <c r="KWF1" s="159"/>
      <c r="KWG1" s="159"/>
      <c r="KWH1" s="159"/>
      <c r="KWI1" s="159"/>
      <c r="KWJ1" s="159"/>
      <c r="KWK1" s="159"/>
      <c r="KWL1" s="159"/>
      <c r="KWM1" s="159"/>
      <c r="KWN1" s="159"/>
      <c r="KWO1" s="159"/>
      <c r="KWP1" s="159"/>
      <c r="KWQ1" s="159"/>
      <c r="KWR1" s="159"/>
      <c r="KWS1" s="159"/>
      <c r="KWT1" s="159"/>
      <c r="KWU1" s="159"/>
      <c r="KWV1" s="159"/>
      <c r="KWW1" s="159"/>
      <c r="KWX1" s="159"/>
      <c r="KWY1" s="159"/>
      <c r="KWZ1" s="159"/>
      <c r="KXA1" s="159"/>
      <c r="KXB1" s="159"/>
      <c r="KXC1" s="159"/>
      <c r="KXD1" s="159"/>
      <c r="KXE1" s="159"/>
      <c r="KXF1" s="159"/>
      <c r="KXG1" s="159"/>
      <c r="KXH1" s="159"/>
      <c r="KXI1" s="159"/>
      <c r="KXJ1" s="159"/>
      <c r="KXK1" s="159"/>
      <c r="KXL1" s="159"/>
      <c r="KXM1" s="159"/>
      <c r="KXN1" s="159"/>
      <c r="KXO1" s="159"/>
      <c r="KXP1" s="159"/>
      <c r="KXQ1" s="159"/>
      <c r="KXR1" s="159"/>
      <c r="KXS1" s="159"/>
      <c r="KXT1" s="159"/>
      <c r="KXU1" s="159"/>
      <c r="KXV1" s="159"/>
      <c r="KXW1" s="159"/>
      <c r="KXX1" s="159"/>
      <c r="KXY1" s="159"/>
      <c r="KXZ1" s="159"/>
      <c r="KYA1" s="159"/>
      <c r="KYB1" s="159"/>
      <c r="KYC1" s="159"/>
      <c r="KYD1" s="159"/>
      <c r="KYE1" s="159"/>
      <c r="KYF1" s="159"/>
      <c r="KYG1" s="159"/>
      <c r="KYH1" s="159"/>
      <c r="KYI1" s="159"/>
      <c r="KYJ1" s="159"/>
      <c r="KYK1" s="159"/>
      <c r="KYL1" s="159"/>
      <c r="KYM1" s="159"/>
      <c r="KYN1" s="159"/>
      <c r="KYO1" s="159"/>
      <c r="KYP1" s="159"/>
      <c r="KYQ1" s="159"/>
      <c r="KYR1" s="159"/>
      <c r="KYS1" s="159"/>
      <c r="KYT1" s="159"/>
      <c r="KYU1" s="159"/>
      <c r="KYV1" s="159"/>
      <c r="KYW1" s="159"/>
      <c r="KYX1" s="159"/>
      <c r="KYY1" s="159"/>
      <c r="KYZ1" s="159"/>
      <c r="KZA1" s="159"/>
      <c r="KZB1" s="159"/>
      <c r="KZC1" s="159"/>
      <c r="KZD1" s="159"/>
      <c r="KZE1" s="159"/>
      <c r="KZF1" s="159"/>
      <c r="KZG1" s="159"/>
      <c r="KZH1" s="159"/>
      <c r="KZI1" s="159"/>
      <c r="KZJ1" s="159"/>
      <c r="KZK1" s="159"/>
      <c r="KZL1" s="159"/>
      <c r="KZM1" s="159"/>
      <c r="KZN1" s="159"/>
      <c r="KZO1" s="159"/>
      <c r="KZP1" s="159"/>
      <c r="KZQ1" s="159"/>
      <c r="KZR1" s="159"/>
      <c r="KZS1" s="159"/>
      <c r="KZT1" s="159"/>
      <c r="KZU1" s="159"/>
      <c r="KZV1" s="159"/>
      <c r="KZW1" s="159"/>
      <c r="KZX1" s="159"/>
      <c r="KZY1" s="159"/>
      <c r="KZZ1" s="159"/>
      <c r="LAA1" s="159"/>
      <c r="LAB1" s="159"/>
      <c r="LAC1" s="159"/>
      <c r="LAD1" s="159"/>
      <c r="LAE1" s="159"/>
      <c r="LAF1" s="159"/>
      <c r="LAG1" s="159"/>
      <c r="LAH1" s="159"/>
      <c r="LAI1" s="159"/>
      <c r="LAJ1" s="159"/>
      <c r="LAK1" s="159"/>
      <c r="LAL1" s="159"/>
      <c r="LAM1" s="159"/>
      <c r="LAN1" s="159"/>
      <c r="LAO1" s="159"/>
      <c r="LAP1" s="159"/>
      <c r="LAQ1" s="159"/>
      <c r="LAR1" s="159"/>
      <c r="LAS1" s="159"/>
      <c r="LAT1" s="159"/>
      <c r="LAU1" s="159"/>
      <c r="LAV1" s="159"/>
      <c r="LAW1" s="159"/>
      <c r="LAX1" s="159"/>
      <c r="LAY1" s="159"/>
      <c r="LAZ1" s="159"/>
      <c r="LBA1" s="159"/>
      <c r="LBB1" s="159"/>
      <c r="LBC1" s="159"/>
      <c r="LBD1" s="159"/>
      <c r="LBE1" s="159"/>
      <c r="LBF1" s="159"/>
      <c r="LBG1" s="159"/>
      <c r="LBH1" s="159"/>
      <c r="LBI1" s="159"/>
      <c r="LBJ1" s="159"/>
      <c r="LBK1" s="159"/>
      <c r="LBL1" s="159"/>
      <c r="LBM1" s="159"/>
      <c r="LBN1" s="159"/>
      <c r="LBO1" s="159"/>
      <c r="LBP1" s="159"/>
      <c r="LBQ1" s="159"/>
      <c r="LBR1" s="159"/>
      <c r="LBS1" s="159"/>
      <c r="LBT1" s="159"/>
      <c r="LBU1" s="159"/>
      <c r="LBV1" s="159"/>
      <c r="LBW1" s="159"/>
      <c r="LBX1" s="159"/>
      <c r="LBY1" s="159"/>
      <c r="LBZ1" s="159"/>
      <c r="LCA1" s="159"/>
      <c r="LCB1" s="159"/>
      <c r="LCC1" s="159"/>
      <c r="LCD1" s="159"/>
      <c r="LCE1" s="159"/>
      <c r="LCF1" s="159"/>
      <c r="LCG1" s="159"/>
      <c r="LCH1" s="159"/>
      <c r="LCI1" s="159"/>
      <c r="LCJ1" s="159"/>
      <c r="LCK1" s="159"/>
      <c r="LCL1" s="159"/>
      <c r="LCM1" s="159"/>
      <c r="LCN1" s="159"/>
      <c r="LCO1" s="159"/>
      <c r="LCP1" s="159"/>
      <c r="LCQ1" s="159"/>
      <c r="LCR1" s="159"/>
      <c r="LEC1" s="159"/>
      <c r="LEQ1" s="159"/>
      <c r="LER1" s="159"/>
      <c r="LES1" s="159"/>
      <c r="LET1" s="159"/>
      <c r="LEU1" s="159"/>
      <c r="LEV1" s="159"/>
      <c r="LEW1" s="159"/>
      <c r="LEX1" s="159"/>
      <c r="LEY1" s="159"/>
      <c r="LEZ1" s="159"/>
      <c r="LFA1" s="159"/>
      <c r="LFB1" s="159"/>
      <c r="LFC1" s="159"/>
      <c r="LFD1" s="159"/>
      <c r="LFE1" s="159"/>
      <c r="LFF1" s="159"/>
      <c r="LFG1" s="159"/>
      <c r="LFH1" s="159"/>
      <c r="LFI1" s="159"/>
      <c r="LFJ1" s="159"/>
      <c r="LFK1" s="159"/>
      <c r="LFL1" s="159"/>
      <c r="LFM1" s="159"/>
      <c r="LFN1" s="159"/>
      <c r="LFO1" s="159"/>
      <c r="LFP1" s="159"/>
      <c r="LFQ1" s="159"/>
      <c r="LFR1" s="159"/>
      <c r="LFS1" s="159"/>
      <c r="LFT1" s="159"/>
      <c r="LFU1" s="159"/>
      <c r="LFV1" s="159"/>
      <c r="LFW1" s="159"/>
      <c r="LFX1" s="159"/>
      <c r="LFY1" s="159"/>
      <c r="LFZ1" s="159"/>
      <c r="LGA1" s="159"/>
      <c r="LGB1" s="159"/>
      <c r="LGC1" s="159"/>
      <c r="LGD1" s="159"/>
      <c r="LGE1" s="159"/>
      <c r="LGF1" s="159"/>
      <c r="LGG1" s="159"/>
      <c r="LGH1" s="159"/>
      <c r="LGI1" s="159"/>
      <c r="LGJ1" s="159"/>
      <c r="LGK1" s="159"/>
      <c r="LGL1" s="159"/>
      <c r="LGM1" s="159"/>
      <c r="LGN1" s="159"/>
      <c r="LGO1" s="159"/>
      <c r="LGP1" s="159"/>
      <c r="LGQ1" s="159"/>
      <c r="LGR1" s="159"/>
      <c r="LGS1" s="159"/>
      <c r="LGT1" s="159"/>
      <c r="LGU1" s="159"/>
      <c r="LGV1" s="159"/>
      <c r="LGW1" s="159"/>
      <c r="LGX1" s="159"/>
      <c r="LGY1" s="159"/>
      <c r="LGZ1" s="159"/>
      <c r="LHA1" s="159"/>
      <c r="LHB1" s="159"/>
      <c r="LHC1" s="159"/>
      <c r="LHD1" s="159"/>
      <c r="LHE1" s="159"/>
      <c r="LHF1" s="159"/>
      <c r="LHG1" s="159"/>
      <c r="LHH1" s="159"/>
      <c r="LHI1" s="159"/>
      <c r="LHJ1" s="159"/>
      <c r="LHK1" s="159"/>
      <c r="LHL1" s="159"/>
      <c r="LHM1" s="159"/>
      <c r="LHN1" s="159"/>
      <c r="LHO1" s="159"/>
      <c r="LHP1" s="159"/>
      <c r="LHQ1" s="159"/>
      <c r="LHR1" s="159"/>
      <c r="LHS1" s="159"/>
      <c r="LHT1" s="159"/>
      <c r="LHU1" s="159"/>
      <c r="LHV1" s="159"/>
      <c r="LHW1" s="159"/>
      <c r="LHX1" s="159"/>
      <c r="LHY1" s="159"/>
      <c r="LHZ1" s="159"/>
      <c r="LIA1" s="159"/>
      <c r="LIB1" s="159"/>
      <c r="LIC1" s="159"/>
      <c r="LID1" s="159"/>
      <c r="LIE1" s="159"/>
      <c r="LIF1" s="159"/>
      <c r="LIG1" s="159"/>
      <c r="LIH1" s="159"/>
      <c r="LII1" s="159"/>
      <c r="LIJ1" s="159"/>
      <c r="LIK1" s="159"/>
      <c r="LIL1" s="159"/>
      <c r="LIM1" s="159"/>
      <c r="LIN1" s="159"/>
      <c r="LIO1" s="159"/>
      <c r="LIP1" s="159"/>
      <c r="LIQ1" s="159"/>
      <c r="LIR1" s="159"/>
      <c r="LIS1" s="159"/>
      <c r="LIT1" s="159"/>
      <c r="LIU1" s="159"/>
      <c r="LIV1" s="159"/>
      <c r="LIW1" s="159"/>
      <c r="LIX1" s="159"/>
      <c r="LIY1" s="159"/>
      <c r="LIZ1" s="159"/>
      <c r="LJA1" s="159"/>
      <c r="LJB1" s="159"/>
      <c r="LJC1" s="159"/>
      <c r="LJD1" s="159"/>
      <c r="LJE1" s="159"/>
      <c r="LJF1" s="159"/>
      <c r="LJG1" s="159"/>
      <c r="LJH1" s="159"/>
      <c r="LJI1" s="159"/>
      <c r="LJJ1" s="159"/>
      <c r="LJK1" s="159"/>
      <c r="LJL1" s="159"/>
      <c r="LJM1" s="159"/>
      <c r="LJN1" s="159"/>
      <c r="LJO1" s="159"/>
      <c r="LJP1" s="159"/>
      <c r="LJQ1" s="159"/>
      <c r="LJR1" s="159"/>
      <c r="LJS1" s="159"/>
      <c r="LJT1" s="159"/>
      <c r="LJU1" s="159"/>
      <c r="LJV1" s="159"/>
      <c r="LJW1" s="159"/>
      <c r="LJX1" s="159"/>
      <c r="LJY1" s="159"/>
      <c r="LJZ1" s="159"/>
      <c r="LKA1" s="159"/>
      <c r="LKB1" s="159"/>
      <c r="LKC1" s="159"/>
      <c r="LKD1" s="159"/>
      <c r="LKE1" s="159"/>
      <c r="LKF1" s="159"/>
      <c r="LKG1" s="159"/>
      <c r="LKH1" s="159"/>
      <c r="LKI1" s="159"/>
      <c r="LKJ1" s="159"/>
      <c r="LKK1" s="159"/>
      <c r="LKL1" s="159"/>
      <c r="LKM1" s="159"/>
      <c r="LKN1" s="159"/>
      <c r="LKO1" s="159"/>
      <c r="LKP1" s="159"/>
      <c r="LKQ1" s="159"/>
      <c r="LKR1" s="159"/>
      <c r="LKS1" s="159"/>
      <c r="LKT1" s="159"/>
      <c r="LKU1" s="159"/>
      <c r="LKV1" s="159"/>
      <c r="LKW1" s="159"/>
      <c r="LKX1" s="159"/>
      <c r="LKY1" s="159"/>
      <c r="LKZ1" s="159"/>
      <c r="LLA1" s="159"/>
      <c r="LLB1" s="159"/>
      <c r="LLC1" s="159"/>
      <c r="LLD1" s="159"/>
      <c r="LLE1" s="159"/>
      <c r="LLF1" s="159"/>
      <c r="LLG1" s="159"/>
      <c r="LLH1" s="159"/>
      <c r="LLI1" s="159"/>
      <c r="LLJ1" s="159"/>
      <c r="LLK1" s="159"/>
      <c r="LLL1" s="159"/>
      <c r="LLM1" s="159"/>
      <c r="LLN1" s="159"/>
      <c r="LLO1" s="159"/>
      <c r="LLP1" s="159"/>
      <c r="LLQ1" s="159"/>
      <c r="LLR1" s="159"/>
      <c r="LLS1" s="159"/>
      <c r="LLT1" s="159"/>
      <c r="LLU1" s="159"/>
      <c r="LLV1" s="159"/>
      <c r="LLW1" s="159"/>
      <c r="LLX1" s="159"/>
      <c r="LLY1" s="159"/>
      <c r="LLZ1" s="159"/>
      <c r="LMA1" s="159"/>
      <c r="LMB1" s="159"/>
      <c r="LMC1" s="159"/>
      <c r="LMD1" s="159"/>
      <c r="LME1" s="159"/>
      <c r="LMF1" s="159"/>
      <c r="LMG1" s="159"/>
      <c r="LMH1" s="159"/>
      <c r="LMI1" s="159"/>
      <c r="LMJ1" s="159"/>
      <c r="LMK1" s="159"/>
      <c r="LML1" s="159"/>
      <c r="LMM1" s="159"/>
      <c r="LMN1" s="159"/>
      <c r="LNY1" s="159"/>
      <c r="LOM1" s="159"/>
      <c r="LON1" s="159"/>
      <c r="LOO1" s="159"/>
      <c r="LOP1" s="159"/>
      <c r="LOQ1" s="159"/>
      <c r="LOR1" s="159"/>
      <c r="LOS1" s="159"/>
      <c r="LOT1" s="159"/>
      <c r="LOU1" s="159"/>
      <c r="LOV1" s="159"/>
      <c r="LOW1" s="159"/>
      <c r="LOX1" s="159"/>
      <c r="LOY1" s="159"/>
      <c r="LOZ1" s="159"/>
      <c r="LPA1" s="159"/>
      <c r="LPB1" s="159"/>
      <c r="LPC1" s="159"/>
      <c r="LPD1" s="159"/>
      <c r="LPE1" s="159"/>
      <c r="LPF1" s="159"/>
      <c r="LPG1" s="159"/>
      <c r="LPH1" s="159"/>
      <c r="LPI1" s="159"/>
      <c r="LPJ1" s="159"/>
      <c r="LPK1" s="159"/>
      <c r="LPL1" s="159"/>
      <c r="LPM1" s="159"/>
      <c r="LPN1" s="159"/>
      <c r="LPO1" s="159"/>
      <c r="LPP1" s="159"/>
      <c r="LPQ1" s="159"/>
      <c r="LPR1" s="159"/>
      <c r="LPS1" s="159"/>
      <c r="LPT1" s="159"/>
      <c r="LPU1" s="159"/>
      <c r="LPV1" s="159"/>
      <c r="LPW1" s="159"/>
      <c r="LPX1" s="159"/>
      <c r="LPY1" s="159"/>
      <c r="LPZ1" s="159"/>
      <c r="LQA1" s="159"/>
      <c r="LQB1" s="159"/>
      <c r="LQC1" s="159"/>
      <c r="LQD1" s="159"/>
      <c r="LQE1" s="159"/>
      <c r="LQF1" s="159"/>
      <c r="LQG1" s="159"/>
      <c r="LQH1" s="159"/>
      <c r="LQI1" s="159"/>
      <c r="LQJ1" s="159"/>
      <c r="LQK1" s="159"/>
      <c r="LQL1" s="159"/>
      <c r="LQM1" s="159"/>
      <c r="LQN1" s="159"/>
      <c r="LQO1" s="159"/>
      <c r="LQP1" s="159"/>
      <c r="LQQ1" s="159"/>
      <c r="LQR1" s="159"/>
      <c r="LQS1" s="159"/>
      <c r="LQT1" s="159"/>
      <c r="LQU1" s="159"/>
      <c r="LQV1" s="159"/>
      <c r="LQW1" s="159"/>
      <c r="LQX1" s="159"/>
      <c r="LQY1" s="159"/>
      <c r="LQZ1" s="159"/>
      <c r="LRA1" s="159"/>
      <c r="LRB1" s="159"/>
      <c r="LRC1" s="159"/>
      <c r="LRD1" s="159"/>
      <c r="LRE1" s="159"/>
      <c r="LRF1" s="159"/>
      <c r="LRG1" s="159"/>
      <c r="LRH1" s="159"/>
      <c r="LRI1" s="159"/>
      <c r="LRJ1" s="159"/>
      <c r="LRK1" s="159"/>
      <c r="LRL1" s="159"/>
      <c r="LRM1" s="159"/>
      <c r="LRN1" s="159"/>
      <c r="LRO1" s="159"/>
      <c r="LRP1" s="159"/>
      <c r="LRQ1" s="159"/>
      <c r="LRR1" s="159"/>
      <c r="LRS1" s="159"/>
      <c r="LRT1" s="159"/>
      <c r="LRU1" s="159"/>
      <c r="LRV1" s="159"/>
      <c r="LRW1" s="159"/>
      <c r="LRX1" s="159"/>
      <c r="LRY1" s="159"/>
      <c r="LRZ1" s="159"/>
      <c r="LSA1" s="159"/>
      <c r="LSB1" s="159"/>
      <c r="LSC1" s="159"/>
      <c r="LSD1" s="159"/>
      <c r="LSE1" s="159"/>
      <c r="LSF1" s="159"/>
      <c r="LSG1" s="159"/>
      <c r="LSH1" s="159"/>
      <c r="LSI1" s="159"/>
      <c r="LSJ1" s="159"/>
      <c r="LSK1" s="159"/>
      <c r="LSL1" s="159"/>
      <c r="LSM1" s="159"/>
      <c r="LSN1" s="159"/>
      <c r="LSO1" s="159"/>
      <c r="LSP1" s="159"/>
      <c r="LSQ1" s="159"/>
      <c r="LSR1" s="159"/>
      <c r="LSS1" s="159"/>
      <c r="LST1" s="159"/>
      <c r="LSU1" s="159"/>
      <c r="LSV1" s="159"/>
      <c r="LSW1" s="159"/>
      <c r="LSX1" s="159"/>
      <c r="LSY1" s="159"/>
      <c r="LSZ1" s="159"/>
      <c r="LTA1" s="159"/>
      <c r="LTB1" s="159"/>
      <c r="LTC1" s="159"/>
      <c r="LTD1" s="159"/>
      <c r="LTE1" s="159"/>
      <c r="LTF1" s="159"/>
      <c r="LTG1" s="159"/>
      <c r="LTH1" s="159"/>
      <c r="LTI1" s="159"/>
      <c r="LTJ1" s="159"/>
      <c r="LTK1" s="159"/>
      <c r="LTL1" s="159"/>
      <c r="LTM1" s="159"/>
      <c r="LTN1" s="159"/>
      <c r="LTO1" s="159"/>
      <c r="LTP1" s="159"/>
      <c r="LTQ1" s="159"/>
      <c r="LTR1" s="159"/>
      <c r="LTS1" s="159"/>
      <c r="LTT1" s="159"/>
      <c r="LTU1" s="159"/>
      <c r="LTV1" s="159"/>
      <c r="LTW1" s="159"/>
      <c r="LTX1" s="159"/>
      <c r="LTY1" s="159"/>
      <c r="LTZ1" s="159"/>
      <c r="LUA1" s="159"/>
      <c r="LUB1" s="159"/>
      <c r="LUC1" s="159"/>
      <c r="LUD1" s="159"/>
      <c r="LUE1" s="159"/>
      <c r="LUF1" s="159"/>
      <c r="LUG1" s="159"/>
      <c r="LUH1" s="159"/>
      <c r="LUI1" s="159"/>
      <c r="LUJ1" s="159"/>
      <c r="LUK1" s="159"/>
      <c r="LUL1" s="159"/>
      <c r="LUM1" s="159"/>
      <c r="LUN1" s="159"/>
      <c r="LUO1" s="159"/>
      <c r="LUP1" s="159"/>
      <c r="LUQ1" s="159"/>
      <c r="LUR1" s="159"/>
      <c r="LUS1" s="159"/>
      <c r="LUT1" s="159"/>
      <c r="LUU1" s="159"/>
      <c r="LUV1" s="159"/>
      <c r="LUW1" s="159"/>
      <c r="LUX1" s="159"/>
      <c r="LUY1" s="159"/>
      <c r="LUZ1" s="159"/>
      <c r="LVA1" s="159"/>
      <c r="LVB1" s="159"/>
      <c r="LVC1" s="159"/>
      <c r="LVD1" s="159"/>
      <c r="LVE1" s="159"/>
      <c r="LVF1" s="159"/>
      <c r="LVG1" s="159"/>
      <c r="LVH1" s="159"/>
      <c r="LVI1" s="159"/>
      <c r="LVJ1" s="159"/>
      <c r="LVK1" s="159"/>
      <c r="LVL1" s="159"/>
      <c r="LVM1" s="159"/>
      <c r="LVN1" s="159"/>
      <c r="LVO1" s="159"/>
      <c r="LVP1" s="159"/>
      <c r="LVQ1" s="159"/>
      <c r="LVR1" s="159"/>
      <c r="LVS1" s="159"/>
      <c r="LVT1" s="159"/>
      <c r="LVU1" s="159"/>
      <c r="LVV1" s="159"/>
      <c r="LVW1" s="159"/>
      <c r="LVX1" s="159"/>
      <c r="LVY1" s="159"/>
      <c r="LVZ1" s="159"/>
      <c r="LWA1" s="159"/>
      <c r="LWB1" s="159"/>
      <c r="LWC1" s="159"/>
      <c r="LWD1" s="159"/>
      <c r="LWE1" s="159"/>
      <c r="LWF1" s="159"/>
      <c r="LWG1" s="159"/>
      <c r="LWH1" s="159"/>
      <c r="LWI1" s="159"/>
      <c r="LWJ1" s="159"/>
      <c r="LXU1" s="159"/>
      <c r="LYI1" s="159"/>
      <c r="LYJ1" s="159"/>
      <c r="LYK1" s="159"/>
      <c r="LYL1" s="159"/>
      <c r="LYM1" s="159"/>
      <c r="LYN1" s="159"/>
      <c r="LYO1" s="159"/>
      <c r="LYP1" s="159"/>
      <c r="LYQ1" s="159"/>
      <c r="LYR1" s="159"/>
      <c r="LYS1" s="159"/>
      <c r="LYT1" s="159"/>
      <c r="LYU1" s="159"/>
      <c r="LYV1" s="159"/>
      <c r="LYW1" s="159"/>
      <c r="LYX1" s="159"/>
      <c r="LYY1" s="159"/>
      <c r="LYZ1" s="159"/>
      <c r="LZA1" s="159"/>
      <c r="LZB1" s="159"/>
      <c r="LZC1" s="159"/>
      <c r="LZD1" s="159"/>
      <c r="LZE1" s="159"/>
      <c r="LZF1" s="159"/>
      <c r="LZG1" s="159"/>
      <c r="LZH1" s="159"/>
      <c r="LZI1" s="159"/>
      <c r="LZJ1" s="159"/>
      <c r="LZK1" s="159"/>
      <c r="LZL1" s="159"/>
      <c r="LZM1" s="159"/>
      <c r="LZN1" s="159"/>
      <c r="LZO1" s="159"/>
      <c r="LZP1" s="159"/>
      <c r="LZQ1" s="159"/>
      <c r="LZR1" s="159"/>
      <c r="LZS1" s="159"/>
      <c r="LZT1" s="159"/>
      <c r="LZU1" s="159"/>
      <c r="LZV1" s="159"/>
      <c r="LZW1" s="159"/>
      <c r="LZX1" s="159"/>
      <c r="LZY1" s="159"/>
      <c r="LZZ1" s="159"/>
      <c r="MAA1" s="159"/>
      <c r="MAB1" s="159"/>
      <c r="MAC1" s="159"/>
      <c r="MAD1" s="159"/>
      <c r="MAE1" s="159"/>
      <c r="MAF1" s="159"/>
      <c r="MAG1" s="159"/>
      <c r="MAH1" s="159"/>
      <c r="MAI1" s="159"/>
      <c r="MAJ1" s="159"/>
      <c r="MAK1" s="159"/>
      <c r="MAL1" s="159"/>
      <c r="MAM1" s="159"/>
      <c r="MAN1" s="159"/>
      <c r="MAO1" s="159"/>
      <c r="MAP1" s="159"/>
      <c r="MAQ1" s="159"/>
      <c r="MAR1" s="159"/>
      <c r="MAS1" s="159"/>
      <c r="MAT1" s="159"/>
      <c r="MAU1" s="159"/>
      <c r="MAV1" s="159"/>
      <c r="MAW1" s="159"/>
      <c r="MAX1" s="159"/>
      <c r="MAY1" s="159"/>
      <c r="MAZ1" s="159"/>
      <c r="MBA1" s="159"/>
      <c r="MBB1" s="159"/>
      <c r="MBC1" s="159"/>
      <c r="MBD1" s="159"/>
      <c r="MBE1" s="159"/>
      <c r="MBF1" s="159"/>
      <c r="MBG1" s="159"/>
      <c r="MBH1" s="159"/>
      <c r="MBI1" s="159"/>
      <c r="MBJ1" s="159"/>
      <c r="MBK1" s="159"/>
      <c r="MBL1" s="159"/>
      <c r="MBM1" s="159"/>
      <c r="MBN1" s="159"/>
      <c r="MBO1" s="159"/>
      <c r="MBP1" s="159"/>
      <c r="MBQ1" s="159"/>
      <c r="MBR1" s="159"/>
      <c r="MBS1" s="159"/>
      <c r="MBT1" s="159"/>
      <c r="MBU1" s="159"/>
      <c r="MBV1" s="159"/>
      <c r="MBW1" s="159"/>
      <c r="MBX1" s="159"/>
      <c r="MBY1" s="159"/>
      <c r="MBZ1" s="159"/>
      <c r="MCA1" s="159"/>
      <c r="MCB1" s="159"/>
      <c r="MCC1" s="159"/>
      <c r="MCD1" s="159"/>
      <c r="MCE1" s="159"/>
      <c r="MCF1" s="159"/>
      <c r="MCG1" s="159"/>
      <c r="MCH1" s="159"/>
      <c r="MCI1" s="159"/>
      <c r="MCJ1" s="159"/>
      <c r="MCK1" s="159"/>
      <c r="MCL1" s="159"/>
      <c r="MCM1" s="159"/>
      <c r="MCN1" s="159"/>
      <c r="MCO1" s="159"/>
      <c r="MCP1" s="159"/>
      <c r="MCQ1" s="159"/>
      <c r="MCR1" s="159"/>
      <c r="MCS1" s="159"/>
      <c r="MCT1" s="159"/>
      <c r="MCU1" s="159"/>
      <c r="MCV1" s="159"/>
      <c r="MCW1" s="159"/>
      <c r="MCX1" s="159"/>
      <c r="MCY1" s="159"/>
      <c r="MCZ1" s="159"/>
      <c r="MDA1" s="159"/>
      <c r="MDB1" s="159"/>
      <c r="MDC1" s="159"/>
      <c r="MDD1" s="159"/>
      <c r="MDE1" s="159"/>
      <c r="MDF1" s="159"/>
      <c r="MDG1" s="159"/>
      <c r="MDH1" s="159"/>
      <c r="MDI1" s="159"/>
      <c r="MDJ1" s="159"/>
      <c r="MDK1" s="159"/>
      <c r="MDL1" s="159"/>
      <c r="MDM1" s="159"/>
      <c r="MDN1" s="159"/>
      <c r="MDO1" s="159"/>
      <c r="MDP1" s="159"/>
      <c r="MDQ1" s="159"/>
      <c r="MDR1" s="159"/>
      <c r="MDS1" s="159"/>
      <c r="MDT1" s="159"/>
      <c r="MDU1" s="159"/>
      <c r="MDV1" s="159"/>
      <c r="MDW1" s="159"/>
      <c r="MDX1" s="159"/>
      <c r="MDY1" s="159"/>
      <c r="MDZ1" s="159"/>
      <c r="MEA1" s="159"/>
      <c r="MEB1" s="159"/>
      <c r="MEC1" s="159"/>
      <c r="MED1" s="159"/>
      <c r="MEE1" s="159"/>
      <c r="MEF1" s="159"/>
      <c r="MEG1" s="159"/>
      <c r="MEH1" s="159"/>
      <c r="MEI1" s="159"/>
      <c r="MEJ1" s="159"/>
      <c r="MEK1" s="159"/>
      <c r="MEL1" s="159"/>
      <c r="MEM1" s="159"/>
      <c r="MEN1" s="159"/>
      <c r="MEO1" s="159"/>
      <c r="MEP1" s="159"/>
      <c r="MEQ1" s="159"/>
      <c r="MER1" s="159"/>
      <c r="MES1" s="159"/>
      <c r="MET1" s="159"/>
      <c r="MEU1" s="159"/>
      <c r="MEV1" s="159"/>
      <c r="MEW1" s="159"/>
      <c r="MEX1" s="159"/>
      <c r="MEY1" s="159"/>
      <c r="MEZ1" s="159"/>
      <c r="MFA1" s="159"/>
      <c r="MFB1" s="159"/>
      <c r="MFC1" s="159"/>
      <c r="MFD1" s="159"/>
      <c r="MFE1" s="159"/>
      <c r="MFF1" s="159"/>
      <c r="MFG1" s="159"/>
      <c r="MFH1" s="159"/>
      <c r="MFI1" s="159"/>
      <c r="MFJ1" s="159"/>
      <c r="MFK1" s="159"/>
      <c r="MFL1" s="159"/>
      <c r="MFM1" s="159"/>
      <c r="MFN1" s="159"/>
      <c r="MFO1" s="159"/>
      <c r="MFP1" s="159"/>
      <c r="MFQ1" s="159"/>
      <c r="MFR1" s="159"/>
      <c r="MFS1" s="159"/>
      <c r="MFT1" s="159"/>
      <c r="MFU1" s="159"/>
      <c r="MFV1" s="159"/>
      <c r="MFW1" s="159"/>
      <c r="MFX1" s="159"/>
      <c r="MFY1" s="159"/>
      <c r="MFZ1" s="159"/>
      <c r="MGA1" s="159"/>
      <c r="MGB1" s="159"/>
      <c r="MGC1" s="159"/>
      <c r="MGD1" s="159"/>
      <c r="MGE1" s="159"/>
      <c r="MGF1" s="159"/>
      <c r="MHQ1" s="159"/>
      <c r="MIE1" s="159"/>
      <c r="MIF1" s="159"/>
      <c r="MIG1" s="159"/>
      <c r="MIH1" s="159"/>
      <c r="MII1" s="159"/>
      <c r="MIJ1" s="159"/>
      <c r="MIK1" s="159"/>
      <c r="MIL1" s="159"/>
      <c r="MIM1" s="159"/>
      <c r="MIN1" s="159"/>
      <c r="MIO1" s="159"/>
      <c r="MIP1" s="159"/>
      <c r="MIQ1" s="159"/>
      <c r="MIR1" s="159"/>
      <c r="MIS1" s="159"/>
      <c r="MIT1" s="159"/>
      <c r="MIU1" s="159"/>
      <c r="MIV1" s="159"/>
      <c r="MIW1" s="159"/>
      <c r="MIX1" s="159"/>
      <c r="MIY1" s="159"/>
      <c r="MIZ1" s="159"/>
      <c r="MJA1" s="159"/>
      <c r="MJB1" s="159"/>
      <c r="MJC1" s="159"/>
      <c r="MJD1" s="159"/>
      <c r="MJE1" s="159"/>
      <c r="MJF1" s="159"/>
      <c r="MJG1" s="159"/>
      <c r="MJH1" s="159"/>
      <c r="MJI1" s="159"/>
      <c r="MJJ1" s="159"/>
      <c r="MJK1" s="159"/>
      <c r="MJL1" s="159"/>
      <c r="MJM1" s="159"/>
      <c r="MJN1" s="159"/>
      <c r="MJO1" s="159"/>
      <c r="MJP1" s="159"/>
      <c r="MJQ1" s="159"/>
      <c r="MJR1" s="159"/>
      <c r="MJS1" s="159"/>
      <c r="MJT1" s="159"/>
      <c r="MJU1" s="159"/>
      <c r="MJV1" s="159"/>
      <c r="MJW1" s="159"/>
      <c r="MJX1" s="159"/>
      <c r="MJY1" s="159"/>
      <c r="MJZ1" s="159"/>
      <c r="MKA1" s="159"/>
      <c r="MKB1" s="159"/>
      <c r="MKC1" s="159"/>
      <c r="MKD1" s="159"/>
      <c r="MKE1" s="159"/>
      <c r="MKF1" s="159"/>
      <c r="MKG1" s="159"/>
      <c r="MKH1" s="159"/>
      <c r="MKI1" s="159"/>
      <c r="MKJ1" s="159"/>
      <c r="MKK1" s="159"/>
      <c r="MKL1" s="159"/>
      <c r="MKM1" s="159"/>
      <c r="MKN1" s="159"/>
      <c r="MKO1" s="159"/>
      <c r="MKP1" s="159"/>
      <c r="MKQ1" s="159"/>
      <c r="MKR1" s="159"/>
      <c r="MKS1" s="159"/>
      <c r="MKT1" s="159"/>
      <c r="MKU1" s="159"/>
      <c r="MKV1" s="159"/>
      <c r="MKW1" s="159"/>
      <c r="MKX1" s="159"/>
      <c r="MKY1" s="159"/>
      <c r="MKZ1" s="159"/>
      <c r="MLA1" s="159"/>
      <c r="MLB1" s="159"/>
      <c r="MLC1" s="159"/>
      <c r="MLD1" s="159"/>
      <c r="MLE1" s="159"/>
      <c r="MLF1" s="159"/>
      <c r="MLG1" s="159"/>
      <c r="MLH1" s="159"/>
      <c r="MLI1" s="159"/>
      <c r="MLJ1" s="159"/>
      <c r="MLK1" s="159"/>
      <c r="MLL1" s="159"/>
      <c r="MLM1" s="159"/>
      <c r="MLN1" s="159"/>
      <c r="MLO1" s="159"/>
      <c r="MLP1" s="159"/>
      <c r="MLQ1" s="159"/>
      <c r="MLR1" s="159"/>
      <c r="MLS1" s="159"/>
      <c r="MLT1" s="159"/>
      <c r="MLU1" s="159"/>
      <c r="MLV1" s="159"/>
      <c r="MLW1" s="159"/>
      <c r="MLX1" s="159"/>
      <c r="MLY1" s="159"/>
      <c r="MLZ1" s="159"/>
      <c r="MMA1" s="159"/>
      <c r="MMB1" s="159"/>
      <c r="MMC1" s="159"/>
      <c r="MMD1" s="159"/>
      <c r="MME1" s="159"/>
      <c r="MMF1" s="159"/>
      <c r="MMG1" s="159"/>
      <c r="MMH1" s="159"/>
      <c r="MMI1" s="159"/>
      <c r="MMJ1" s="159"/>
      <c r="MMK1" s="159"/>
      <c r="MML1" s="159"/>
      <c r="MMM1" s="159"/>
      <c r="MMN1" s="159"/>
      <c r="MMO1" s="159"/>
      <c r="MMP1" s="159"/>
      <c r="MMQ1" s="159"/>
      <c r="MMR1" s="159"/>
      <c r="MMS1" s="159"/>
      <c r="MMT1" s="159"/>
      <c r="MMU1" s="159"/>
      <c r="MMV1" s="159"/>
      <c r="MMW1" s="159"/>
      <c r="MMX1" s="159"/>
      <c r="MMY1" s="159"/>
      <c r="MMZ1" s="159"/>
      <c r="MNA1" s="159"/>
      <c r="MNB1" s="159"/>
      <c r="MNC1" s="159"/>
      <c r="MND1" s="159"/>
      <c r="MNE1" s="159"/>
      <c r="MNF1" s="159"/>
      <c r="MNG1" s="159"/>
      <c r="MNH1" s="159"/>
      <c r="MNI1" s="159"/>
      <c r="MNJ1" s="159"/>
      <c r="MNK1" s="159"/>
      <c r="MNL1" s="159"/>
      <c r="MNM1" s="159"/>
      <c r="MNN1" s="159"/>
      <c r="MNO1" s="159"/>
      <c r="MNP1" s="159"/>
      <c r="MNQ1" s="159"/>
      <c r="MNR1" s="159"/>
      <c r="MNS1" s="159"/>
      <c r="MNT1" s="159"/>
      <c r="MNU1" s="159"/>
      <c r="MNV1" s="159"/>
      <c r="MNW1" s="159"/>
      <c r="MNX1" s="159"/>
      <c r="MNY1" s="159"/>
      <c r="MNZ1" s="159"/>
      <c r="MOA1" s="159"/>
      <c r="MOB1" s="159"/>
      <c r="MOC1" s="159"/>
      <c r="MOD1" s="159"/>
      <c r="MOE1" s="159"/>
      <c r="MOF1" s="159"/>
      <c r="MOG1" s="159"/>
      <c r="MOH1" s="159"/>
      <c r="MOI1" s="159"/>
      <c r="MOJ1" s="159"/>
      <c r="MOK1" s="159"/>
      <c r="MOL1" s="159"/>
      <c r="MOM1" s="159"/>
      <c r="MON1" s="159"/>
      <c r="MOO1" s="159"/>
      <c r="MOP1" s="159"/>
      <c r="MOQ1" s="159"/>
      <c r="MOR1" s="159"/>
      <c r="MOS1" s="159"/>
      <c r="MOT1" s="159"/>
      <c r="MOU1" s="159"/>
      <c r="MOV1" s="159"/>
      <c r="MOW1" s="159"/>
      <c r="MOX1" s="159"/>
      <c r="MOY1" s="159"/>
      <c r="MOZ1" s="159"/>
      <c r="MPA1" s="159"/>
      <c r="MPB1" s="159"/>
      <c r="MPC1" s="159"/>
      <c r="MPD1" s="159"/>
      <c r="MPE1" s="159"/>
      <c r="MPF1" s="159"/>
      <c r="MPG1" s="159"/>
      <c r="MPH1" s="159"/>
      <c r="MPI1" s="159"/>
      <c r="MPJ1" s="159"/>
      <c r="MPK1" s="159"/>
      <c r="MPL1" s="159"/>
      <c r="MPM1" s="159"/>
      <c r="MPN1" s="159"/>
      <c r="MPO1" s="159"/>
      <c r="MPP1" s="159"/>
      <c r="MPQ1" s="159"/>
      <c r="MPR1" s="159"/>
      <c r="MPS1" s="159"/>
      <c r="MPT1" s="159"/>
      <c r="MPU1" s="159"/>
      <c r="MPV1" s="159"/>
      <c r="MPW1" s="159"/>
      <c r="MPX1" s="159"/>
      <c r="MPY1" s="159"/>
      <c r="MPZ1" s="159"/>
      <c r="MQA1" s="159"/>
      <c r="MQB1" s="159"/>
      <c r="MRM1" s="159"/>
      <c r="MSA1" s="159"/>
      <c r="MSB1" s="159"/>
      <c r="MSC1" s="159"/>
      <c r="MSD1" s="159"/>
      <c r="MSE1" s="159"/>
      <c r="MSF1" s="159"/>
      <c r="MSG1" s="159"/>
      <c r="MSH1" s="159"/>
      <c r="MSI1" s="159"/>
      <c r="MSJ1" s="159"/>
      <c r="MSK1" s="159"/>
      <c r="MSL1" s="159"/>
      <c r="MSM1" s="159"/>
      <c r="MSN1" s="159"/>
      <c r="MSO1" s="159"/>
      <c r="MSP1" s="159"/>
      <c r="MSQ1" s="159"/>
      <c r="MSR1" s="159"/>
      <c r="MSS1" s="159"/>
      <c r="MST1" s="159"/>
      <c r="MSU1" s="159"/>
      <c r="MSV1" s="159"/>
      <c r="MSW1" s="159"/>
      <c r="MSX1" s="159"/>
      <c r="MSY1" s="159"/>
      <c r="MSZ1" s="159"/>
      <c r="MTA1" s="159"/>
      <c r="MTB1" s="159"/>
      <c r="MTC1" s="159"/>
      <c r="MTD1" s="159"/>
      <c r="MTE1" s="159"/>
      <c r="MTF1" s="159"/>
      <c r="MTG1" s="159"/>
      <c r="MTH1" s="159"/>
      <c r="MTI1" s="159"/>
      <c r="MTJ1" s="159"/>
      <c r="MTK1" s="159"/>
      <c r="MTL1" s="159"/>
      <c r="MTM1" s="159"/>
      <c r="MTN1" s="159"/>
      <c r="MTO1" s="159"/>
      <c r="MTP1" s="159"/>
      <c r="MTQ1" s="159"/>
      <c r="MTR1" s="159"/>
      <c r="MTS1" s="159"/>
      <c r="MTT1" s="159"/>
      <c r="MTU1" s="159"/>
      <c r="MTV1" s="159"/>
      <c r="MTW1" s="159"/>
      <c r="MTX1" s="159"/>
      <c r="MTY1" s="159"/>
      <c r="MTZ1" s="159"/>
      <c r="MUA1" s="159"/>
      <c r="MUB1" s="159"/>
      <c r="MUC1" s="159"/>
      <c r="MUD1" s="159"/>
      <c r="MUE1" s="159"/>
      <c r="MUF1" s="159"/>
      <c r="MUG1" s="159"/>
      <c r="MUH1" s="159"/>
      <c r="MUI1" s="159"/>
      <c r="MUJ1" s="159"/>
      <c r="MUK1" s="159"/>
      <c r="MUL1" s="159"/>
      <c r="MUM1" s="159"/>
      <c r="MUN1" s="159"/>
      <c r="MUO1" s="159"/>
      <c r="MUP1" s="159"/>
      <c r="MUQ1" s="159"/>
      <c r="MUR1" s="159"/>
      <c r="MUS1" s="159"/>
      <c r="MUT1" s="159"/>
      <c r="MUU1" s="159"/>
      <c r="MUV1" s="159"/>
      <c r="MUW1" s="159"/>
      <c r="MUX1" s="159"/>
      <c r="MUY1" s="159"/>
      <c r="MUZ1" s="159"/>
      <c r="MVA1" s="159"/>
      <c r="MVB1" s="159"/>
      <c r="MVC1" s="159"/>
      <c r="MVD1" s="159"/>
      <c r="MVE1" s="159"/>
      <c r="MVF1" s="159"/>
      <c r="MVG1" s="159"/>
      <c r="MVH1" s="159"/>
      <c r="MVI1" s="159"/>
      <c r="MVJ1" s="159"/>
      <c r="MVK1" s="159"/>
      <c r="MVL1" s="159"/>
      <c r="MVM1" s="159"/>
      <c r="MVN1" s="159"/>
      <c r="MVO1" s="159"/>
      <c r="MVP1" s="159"/>
      <c r="MVQ1" s="159"/>
      <c r="MVR1" s="159"/>
      <c r="MVS1" s="159"/>
      <c r="MVT1" s="159"/>
      <c r="MVU1" s="159"/>
      <c r="MVV1" s="159"/>
      <c r="MVW1" s="159"/>
      <c r="MVX1" s="159"/>
      <c r="MVY1" s="159"/>
      <c r="MVZ1" s="159"/>
      <c r="MWA1" s="159"/>
      <c r="MWB1" s="159"/>
      <c r="MWC1" s="159"/>
      <c r="MWD1" s="159"/>
      <c r="MWE1" s="159"/>
      <c r="MWF1" s="159"/>
      <c r="MWG1" s="159"/>
      <c r="MWH1" s="159"/>
      <c r="MWI1" s="159"/>
      <c r="MWJ1" s="159"/>
      <c r="MWK1" s="159"/>
      <c r="MWL1" s="159"/>
      <c r="MWM1" s="159"/>
      <c r="MWN1" s="159"/>
      <c r="MWO1" s="159"/>
      <c r="MWP1" s="159"/>
      <c r="MWQ1" s="159"/>
      <c r="MWR1" s="159"/>
      <c r="MWS1" s="159"/>
      <c r="MWT1" s="159"/>
      <c r="MWU1" s="159"/>
      <c r="MWV1" s="159"/>
      <c r="MWW1" s="159"/>
      <c r="MWX1" s="159"/>
      <c r="MWY1" s="159"/>
      <c r="MWZ1" s="159"/>
      <c r="MXA1" s="159"/>
      <c r="MXB1" s="159"/>
      <c r="MXC1" s="159"/>
      <c r="MXD1" s="159"/>
      <c r="MXE1" s="159"/>
      <c r="MXF1" s="159"/>
      <c r="MXG1" s="159"/>
      <c r="MXH1" s="159"/>
      <c r="MXI1" s="159"/>
      <c r="MXJ1" s="159"/>
      <c r="MXK1" s="159"/>
      <c r="MXL1" s="159"/>
      <c r="MXM1" s="159"/>
      <c r="MXN1" s="159"/>
      <c r="MXO1" s="159"/>
      <c r="MXP1" s="159"/>
      <c r="MXQ1" s="159"/>
      <c r="MXR1" s="159"/>
      <c r="MXS1" s="159"/>
      <c r="MXT1" s="159"/>
      <c r="MXU1" s="159"/>
      <c r="MXV1" s="159"/>
      <c r="MXW1" s="159"/>
      <c r="MXX1" s="159"/>
      <c r="MXY1" s="159"/>
      <c r="MXZ1" s="159"/>
      <c r="MYA1" s="159"/>
      <c r="MYB1" s="159"/>
      <c r="MYC1" s="159"/>
      <c r="MYD1" s="159"/>
      <c r="MYE1" s="159"/>
      <c r="MYF1" s="159"/>
      <c r="MYG1" s="159"/>
      <c r="MYH1" s="159"/>
      <c r="MYI1" s="159"/>
      <c r="MYJ1" s="159"/>
      <c r="MYK1" s="159"/>
      <c r="MYL1" s="159"/>
      <c r="MYM1" s="159"/>
      <c r="MYN1" s="159"/>
      <c r="MYO1" s="159"/>
      <c r="MYP1" s="159"/>
      <c r="MYQ1" s="159"/>
      <c r="MYR1" s="159"/>
      <c r="MYS1" s="159"/>
      <c r="MYT1" s="159"/>
      <c r="MYU1" s="159"/>
      <c r="MYV1" s="159"/>
      <c r="MYW1" s="159"/>
      <c r="MYX1" s="159"/>
      <c r="MYY1" s="159"/>
      <c r="MYZ1" s="159"/>
      <c r="MZA1" s="159"/>
      <c r="MZB1" s="159"/>
      <c r="MZC1" s="159"/>
      <c r="MZD1" s="159"/>
      <c r="MZE1" s="159"/>
      <c r="MZF1" s="159"/>
      <c r="MZG1" s="159"/>
      <c r="MZH1" s="159"/>
      <c r="MZI1" s="159"/>
      <c r="MZJ1" s="159"/>
      <c r="MZK1" s="159"/>
      <c r="MZL1" s="159"/>
      <c r="MZM1" s="159"/>
      <c r="MZN1" s="159"/>
      <c r="MZO1" s="159"/>
      <c r="MZP1" s="159"/>
      <c r="MZQ1" s="159"/>
      <c r="MZR1" s="159"/>
      <c r="MZS1" s="159"/>
      <c r="MZT1" s="159"/>
      <c r="MZU1" s="159"/>
      <c r="MZV1" s="159"/>
      <c r="MZW1" s="159"/>
      <c r="MZX1" s="159"/>
      <c r="NBI1" s="159"/>
      <c r="NBW1" s="159"/>
      <c r="NBX1" s="159"/>
      <c r="NBY1" s="159"/>
      <c r="NBZ1" s="159"/>
      <c r="NCA1" s="159"/>
      <c r="NCB1" s="159"/>
      <c r="NCC1" s="159"/>
      <c r="NCD1" s="159"/>
      <c r="NCE1" s="159"/>
      <c r="NCF1" s="159"/>
      <c r="NCG1" s="159"/>
      <c r="NCH1" s="159"/>
      <c r="NCI1" s="159"/>
      <c r="NCJ1" s="159"/>
      <c r="NCK1" s="159"/>
      <c r="NCL1" s="159"/>
      <c r="NCM1" s="159"/>
      <c r="NCN1" s="159"/>
      <c r="NCO1" s="159"/>
      <c r="NCP1" s="159"/>
      <c r="NCQ1" s="159"/>
      <c r="NCR1" s="159"/>
      <c r="NCS1" s="159"/>
      <c r="NCT1" s="159"/>
      <c r="NCU1" s="159"/>
      <c r="NCV1" s="159"/>
      <c r="NCW1" s="159"/>
      <c r="NCX1" s="159"/>
      <c r="NCY1" s="159"/>
      <c r="NCZ1" s="159"/>
      <c r="NDA1" s="159"/>
      <c r="NDB1" s="159"/>
      <c r="NDC1" s="159"/>
      <c r="NDD1" s="159"/>
      <c r="NDE1" s="159"/>
      <c r="NDF1" s="159"/>
      <c r="NDG1" s="159"/>
      <c r="NDH1" s="159"/>
      <c r="NDI1" s="159"/>
      <c r="NDJ1" s="159"/>
      <c r="NDK1" s="159"/>
      <c r="NDL1" s="159"/>
      <c r="NDM1" s="159"/>
      <c r="NDN1" s="159"/>
      <c r="NDO1" s="159"/>
      <c r="NDP1" s="159"/>
      <c r="NDQ1" s="159"/>
      <c r="NDR1" s="159"/>
      <c r="NDS1" s="159"/>
      <c r="NDT1" s="159"/>
      <c r="NDU1" s="159"/>
      <c r="NDV1" s="159"/>
      <c r="NDW1" s="159"/>
      <c r="NDX1" s="159"/>
      <c r="NDY1" s="159"/>
      <c r="NDZ1" s="159"/>
      <c r="NEA1" s="159"/>
      <c r="NEB1" s="159"/>
      <c r="NEC1" s="159"/>
      <c r="NED1" s="159"/>
      <c r="NEE1" s="159"/>
      <c r="NEF1" s="159"/>
      <c r="NEG1" s="159"/>
      <c r="NEH1" s="159"/>
      <c r="NEI1" s="159"/>
      <c r="NEJ1" s="159"/>
      <c r="NEK1" s="159"/>
      <c r="NEL1" s="159"/>
      <c r="NEM1" s="159"/>
      <c r="NEN1" s="159"/>
      <c r="NEO1" s="159"/>
      <c r="NEP1" s="159"/>
      <c r="NEQ1" s="159"/>
      <c r="NER1" s="159"/>
      <c r="NES1" s="159"/>
      <c r="NET1" s="159"/>
      <c r="NEU1" s="159"/>
      <c r="NEV1" s="159"/>
      <c r="NEW1" s="159"/>
      <c r="NEX1" s="159"/>
      <c r="NEY1" s="159"/>
      <c r="NEZ1" s="159"/>
      <c r="NFA1" s="159"/>
      <c r="NFB1" s="159"/>
      <c r="NFC1" s="159"/>
      <c r="NFD1" s="159"/>
      <c r="NFE1" s="159"/>
      <c r="NFF1" s="159"/>
      <c r="NFG1" s="159"/>
      <c r="NFH1" s="159"/>
      <c r="NFI1" s="159"/>
      <c r="NFJ1" s="159"/>
      <c r="NFK1" s="159"/>
      <c r="NFL1" s="159"/>
      <c r="NFM1" s="159"/>
      <c r="NFN1" s="159"/>
      <c r="NFO1" s="159"/>
      <c r="NFP1" s="159"/>
      <c r="NFQ1" s="159"/>
      <c r="NFR1" s="159"/>
      <c r="NFS1" s="159"/>
      <c r="NFT1" s="159"/>
      <c r="NFU1" s="159"/>
      <c r="NFV1" s="159"/>
      <c r="NFW1" s="159"/>
      <c r="NFX1" s="159"/>
      <c r="NFY1" s="159"/>
      <c r="NFZ1" s="159"/>
      <c r="NGA1" s="159"/>
      <c r="NGB1" s="159"/>
      <c r="NGC1" s="159"/>
      <c r="NGD1" s="159"/>
      <c r="NGE1" s="159"/>
      <c r="NGF1" s="159"/>
      <c r="NGG1" s="159"/>
      <c r="NGH1" s="159"/>
      <c r="NGI1" s="159"/>
      <c r="NGJ1" s="159"/>
      <c r="NGK1" s="159"/>
      <c r="NGL1" s="159"/>
      <c r="NGM1" s="159"/>
      <c r="NGN1" s="159"/>
      <c r="NGO1" s="159"/>
      <c r="NGP1" s="159"/>
      <c r="NGQ1" s="159"/>
      <c r="NGR1" s="159"/>
      <c r="NGS1" s="159"/>
      <c r="NGT1" s="159"/>
      <c r="NGU1" s="159"/>
      <c r="NGV1" s="159"/>
      <c r="NGW1" s="159"/>
      <c r="NGX1" s="159"/>
      <c r="NGY1" s="159"/>
      <c r="NGZ1" s="159"/>
      <c r="NHA1" s="159"/>
      <c r="NHB1" s="159"/>
      <c r="NHC1" s="159"/>
      <c r="NHD1" s="159"/>
      <c r="NHE1" s="159"/>
      <c r="NHF1" s="159"/>
      <c r="NHG1" s="159"/>
      <c r="NHH1" s="159"/>
      <c r="NHI1" s="159"/>
      <c r="NHJ1" s="159"/>
      <c r="NHK1" s="159"/>
      <c r="NHL1" s="159"/>
      <c r="NHM1" s="159"/>
      <c r="NHN1" s="159"/>
      <c r="NHO1" s="159"/>
      <c r="NHP1" s="159"/>
      <c r="NHQ1" s="159"/>
      <c r="NHR1" s="159"/>
      <c r="NHS1" s="159"/>
      <c r="NHT1" s="159"/>
      <c r="NHU1" s="159"/>
      <c r="NHV1" s="159"/>
      <c r="NHW1" s="159"/>
      <c r="NHX1" s="159"/>
      <c r="NHY1" s="159"/>
      <c r="NHZ1" s="159"/>
      <c r="NIA1" s="159"/>
      <c r="NIB1" s="159"/>
      <c r="NIC1" s="159"/>
      <c r="NID1" s="159"/>
      <c r="NIE1" s="159"/>
      <c r="NIF1" s="159"/>
      <c r="NIG1" s="159"/>
      <c r="NIH1" s="159"/>
      <c r="NII1" s="159"/>
      <c r="NIJ1" s="159"/>
      <c r="NIK1" s="159"/>
      <c r="NIL1" s="159"/>
      <c r="NIM1" s="159"/>
      <c r="NIN1" s="159"/>
      <c r="NIO1" s="159"/>
      <c r="NIP1" s="159"/>
      <c r="NIQ1" s="159"/>
      <c r="NIR1" s="159"/>
      <c r="NIS1" s="159"/>
      <c r="NIT1" s="159"/>
      <c r="NIU1" s="159"/>
      <c r="NIV1" s="159"/>
      <c r="NIW1" s="159"/>
      <c r="NIX1" s="159"/>
      <c r="NIY1" s="159"/>
      <c r="NIZ1" s="159"/>
      <c r="NJA1" s="159"/>
      <c r="NJB1" s="159"/>
      <c r="NJC1" s="159"/>
      <c r="NJD1" s="159"/>
      <c r="NJE1" s="159"/>
      <c r="NJF1" s="159"/>
      <c r="NJG1" s="159"/>
      <c r="NJH1" s="159"/>
      <c r="NJI1" s="159"/>
      <c r="NJJ1" s="159"/>
      <c r="NJK1" s="159"/>
      <c r="NJL1" s="159"/>
      <c r="NJM1" s="159"/>
      <c r="NJN1" s="159"/>
      <c r="NJO1" s="159"/>
      <c r="NJP1" s="159"/>
      <c r="NJQ1" s="159"/>
      <c r="NJR1" s="159"/>
      <c r="NJS1" s="159"/>
      <c r="NJT1" s="159"/>
      <c r="NLE1" s="159"/>
      <c r="NLS1" s="159"/>
      <c r="NLT1" s="159"/>
      <c r="NLU1" s="159"/>
      <c r="NLV1" s="159"/>
      <c r="NLW1" s="159"/>
      <c r="NLX1" s="159"/>
      <c r="NLY1" s="159"/>
      <c r="NLZ1" s="159"/>
      <c r="NMA1" s="159"/>
      <c r="NMB1" s="159"/>
      <c r="NMC1" s="159"/>
      <c r="NMD1" s="159"/>
      <c r="NME1" s="159"/>
      <c r="NMF1" s="159"/>
      <c r="NMG1" s="159"/>
      <c r="NMH1" s="159"/>
      <c r="NMI1" s="159"/>
      <c r="NMJ1" s="159"/>
      <c r="NMK1" s="159"/>
      <c r="NML1" s="159"/>
      <c r="NMM1" s="159"/>
      <c r="NMN1" s="159"/>
      <c r="NMO1" s="159"/>
      <c r="NMP1" s="159"/>
      <c r="NMQ1" s="159"/>
      <c r="NMR1" s="159"/>
      <c r="NMS1" s="159"/>
      <c r="NMT1" s="159"/>
      <c r="NMU1" s="159"/>
      <c r="NMV1" s="159"/>
      <c r="NMW1" s="159"/>
      <c r="NMX1" s="159"/>
      <c r="NMY1" s="159"/>
      <c r="NMZ1" s="159"/>
      <c r="NNA1" s="159"/>
      <c r="NNB1" s="159"/>
      <c r="NNC1" s="159"/>
      <c r="NND1" s="159"/>
      <c r="NNE1" s="159"/>
      <c r="NNF1" s="159"/>
      <c r="NNG1" s="159"/>
      <c r="NNH1" s="159"/>
      <c r="NNI1" s="159"/>
      <c r="NNJ1" s="159"/>
      <c r="NNK1" s="159"/>
      <c r="NNL1" s="159"/>
      <c r="NNM1" s="159"/>
      <c r="NNN1" s="159"/>
      <c r="NNO1" s="159"/>
      <c r="NNP1" s="159"/>
      <c r="NNQ1" s="159"/>
      <c r="NNR1" s="159"/>
      <c r="NNS1" s="159"/>
      <c r="NNT1" s="159"/>
      <c r="NNU1" s="159"/>
      <c r="NNV1" s="159"/>
      <c r="NNW1" s="159"/>
      <c r="NNX1" s="159"/>
      <c r="NNY1" s="159"/>
      <c r="NNZ1" s="159"/>
      <c r="NOA1" s="159"/>
      <c r="NOB1" s="159"/>
      <c r="NOC1" s="159"/>
      <c r="NOD1" s="159"/>
      <c r="NOE1" s="159"/>
      <c r="NOF1" s="159"/>
      <c r="NOG1" s="159"/>
      <c r="NOH1" s="159"/>
      <c r="NOI1" s="159"/>
      <c r="NOJ1" s="159"/>
      <c r="NOK1" s="159"/>
      <c r="NOL1" s="159"/>
      <c r="NOM1" s="159"/>
      <c r="NON1" s="159"/>
      <c r="NOO1" s="159"/>
      <c r="NOP1" s="159"/>
      <c r="NOQ1" s="159"/>
      <c r="NOR1" s="159"/>
      <c r="NOS1" s="159"/>
      <c r="NOT1" s="159"/>
      <c r="NOU1" s="159"/>
      <c r="NOV1" s="159"/>
      <c r="NOW1" s="159"/>
      <c r="NOX1" s="159"/>
      <c r="NOY1" s="159"/>
      <c r="NOZ1" s="159"/>
      <c r="NPA1" s="159"/>
      <c r="NPB1" s="159"/>
      <c r="NPC1" s="159"/>
      <c r="NPD1" s="159"/>
      <c r="NPE1" s="159"/>
      <c r="NPF1" s="159"/>
      <c r="NPG1" s="159"/>
      <c r="NPH1" s="159"/>
      <c r="NPI1" s="159"/>
      <c r="NPJ1" s="159"/>
      <c r="NPK1" s="159"/>
      <c r="NPL1" s="159"/>
      <c r="NPM1" s="159"/>
      <c r="NPN1" s="159"/>
      <c r="NPO1" s="159"/>
      <c r="NPP1" s="159"/>
      <c r="NPQ1" s="159"/>
      <c r="NPR1" s="159"/>
      <c r="NPS1" s="159"/>
      <c r="NPT1" s="159"/>
      <c r="NPU1" s="159"/>
      <c r="NPV1" s="159"/>
      <c r="NPW1" s="159"/>
      <c r="NPX1" s="159"/>
      <c r="NPY1" s="159"/>
      <c r="NPZ1" s="159"/>
      <c r="NQA1" s="159"/>
      <c r="NQB1" s="159"/>
      <c r="NQC1" s="159"/>
      <c r="NQD1" s="159"/>
      <c r="NQE1" s="159"/>
      <c r="NQF1" s="159"/>
      <c r="NQG1" s="159"/>
      <c r="NQH1" s="159"/>
      <c r="NQI1" s="159"/>
      <c r="NQJ1" s="159"/>
      <c r="NQK1" s="159"/>
      <c r="NQL1" s="159"/>
      <c r="NQM1" s="159"/>
      <c r="NQN1" s="159"/>
      <c r="NQO1" s="159"/>
      <c r="NQP1" s="159"/>
      <c r="NQQ1" s="159"/>
      <c r="NQR1" s="159"/>
      <c r="NQS1" s="159"/>
      <c r="NQT1" s="159"/>
      <c r="NQU1" s="159"/>
      <c r="NQV1" s="159"/>
      <c r="NQW1" s="159"/>
      <c r="NQX1" s="159"/>
      <c r="NQY1" s="159"/>
      <c r="NQZ1" s="159"/>
      <c r="NRA1" s="159"/>
      <c r="NRB1" s="159"/>
      <c r="NRC1" s="159"/>
      <c r="NRD1" s="159"/>
      <c r="NRE1" s="159"/>
      <c r="NRF1" s="159"/>
      <c r="NRG1" s="159"/>
      <c r="NRH1" s="159"/>
      <c r="NRI1" s="159"/>
      <c r="NRJ1" s="159"/>
      <c r="NRK1" s="159"/>
      <c r="NRL1" s="159"/>
      <c r="NRM1" s="159"/>
      <c r="NRN1" s="159"/>
      <c r="NRO1" s="159"/>
      <c r="NRP1" s="159"/>
      <c r="NRQ1" s="159"/>
      <c r="NRR1" s="159"/>
      <c r="NRS1" s="159"/>
      <c r="NRT1" s="159"/>
      <c r="NRU1" s="159"/>
      <c r="NRV1" s="159"/>
      <c r="NRW1" s="159"/>
      <c r="NRX1" s="159"/>
      <c r="NRY1" s="159"/>
      <c r="NRZ1" s="159"/>
      <c r="NSA1" s="159"/>
      <c r="NSB1" s="159"/>
      <c r="NSC1" s="159"/>
      <c r="NSD1" s="159"/>
      <c r="NSE1" s="159"/>
      <c r="NSF1" s="159"/>
      <c r="NSG1" s="159"/>
      <c r="NSH1" s="159"/>
      <c r="NSI1" s="159"/>
      <c r="NSJ1" s="159"/>
      <c r="NSK1" s="159"/>
      <c r="NSL1" s="159"/>
      <c r="NSM1" s="159"/>
      <c r="NSN1" s="159"/>
      <c r="NSO1" s="159"/>
      <c r="NSP1" s="159"/>
      <c r="NSQ1" s="159"/>
      <c r="NSR1" s="159"/>
      <c r="NSS1" s="159"/>
      <c r="NST1" s="159"/>
      <c r="NSU1" s="159"/>
      <c r="NSV1" s="159"/>
      <c r="NSW1" s="159"/>
      <c r="NSX1" s="159"/>
      <c r="NSY1" s="159"/>
      <c r="NSZ1" s="159"/>
      <c r="NTA1" s="159"/>
      <c r="NTB1" s="159"/>
      <c r="NTC1" s="159"/>
      <c r="NTD1" s="159"/>
      <c r="NTE1" s="159"/>
      <c r="NTF1" s="159"/>
      <c r="NTG1" s="159"/>
      <c r="NTH1" s="159"/>
      <c r="NTI1" s="159"/>
      <c r="NTJ1" s="159"/>
      <c r="NTK1" s="159"/>
      <c r="NTL1" s="159"/>
      <c r="NTM1" s="159"/>
      <c r="NTN1" s="159"/>
      <c r="NTO1" s="159"/>
      <c r="NTP1" s="159"/>
      <c r="NVA1" s="159"/>
      <c r="NVO1" s="159"/>
      <c r="NVP1" s="159"/>
      <c r="NVQ1" s="159"/>
      <c r="NVR1" s="159"/>
      <c r="NVS1" s="159"/>
      <c r="NVT1" s="159"/>
      <c r="NVU1" s="159"/>
      <c r="NVV1" s="159"/>
      <c r="NVW1" s="159"/>
      <c r="NVX1" s="159"/>
      <c r="NVY1" s="159"/>
      <c r="NVZ1" s="159"/>
      <c r="NWA1" s="159"/>
      <c r="NWB1" s="159"/>
      <c r="NWC1" s="159"/>
      <c r="NWD1" s="159"/>
      <c r="NWE1" s="159"/>
      <c r="NWF1" s="159"/>
      <c r="NWG1" s="159"/>
      <c r="NWH1" s="159"/>
      <c r="NWI1" s="159"/>
      <c r="NWJ1" s="159"/>
      <c r="NWK1" s="159"/>
      <c r="NWL1" s="159"/>
      <c r="NWM1" s="159"/>
      <c r="NWN1" s="159"/>
      <c r="NWO1" s="159"/>
      <c r="NWP1" s="159"/>
      <c r="NWQ1" s="159"/>
      <c r="NWR1" s="159"/>
      <c r="NWS1" s="159"/>
      <c r="NWT1" s="159"/>
      <c r="NWU1" s="159"/>
      <c r="NWV1" s="159"/>
      <c r="NWW1" s="159"/>
      <c r="NWX1" s="159"/>
      <c r="NWY1" s="159"/>
      <c r="NWZ1" s="159"/>
      <c r="NXA1" s="159"/>
      <c r="NXB1" s="159"/>
      <c r="NXC1" s="159"/>
      <c r="NXD1" s="159"/>
      <c r="NXE1" s="159"/>
      <c r="NXF1" s="159"/>
      <c r="NXG1" s="159"/>
      <c r="NXH1" s="159"/>
      <c r="NXI1" s="159"/>
      <c r="NXJ1" s="159"/>
      <c r="NXK1" s="159"/>
      <c r="NXL1" s="159"/>
      <c r="NXM1" s="159"/>
      <c r="NXN1" s="159"/>
      <c r="NXO1" s="159"/>
      <c r="NXP1" s="159"/>
      <c r="NXQ1" s="159"/>
      <c r="NXR1" s="159"/>
      <c r="NXS1" s="159"/>
      <c r="NXT1" s="159"/>
      <c r="NXU1" s="159"/>
      <c r="NXV1" s="159"/>
      <c r="NXW1" s="159"/>
      <c r="NXX1" s="159"/>
      <c r="NXY1" s="159"/>
      <c r="NXZ1" s="159"/>
      <c r="NYA1" s="159"/>
      <c r="NYB1" s="159"/>
      <c r="NYC1" s="159"/>
      <c r="NYD1" s="159"/>
      <c r="NYE1" s="159"/>
      <c r="NYF1" s="159"/>
      <c r="NYG1" s="159"/>
      <c r="NYH1" s="159"/>
      <c r="NYI1" s="159"/>
      <c r="NYJ1" s="159"/>
      <c r="NYK1" s="159"/>
      <c r="NYL1" s="159"/>
      <c r="NYM1" s="159"/>
      <c r="NYN1" s="159"/>
      <c r="NYO1" s="159"/>
      <c r="NYP1" s="159"/>
      <c r="NYQ1" s="159"/>
      <c r="NYR1" s="159"/>
      <c r="NYS1" s="159"/>
      <c r="NYT1" s="159"/>
      <c r="NYU1" s="159"/>
      <c r="NYV1" s="159"/>
      <c r="NYW1" s="159"/>
      <c r="NYX1" s="159"/>
      <c r="NYY1" s="159"/>
      <c r="NYZ1" s="159"/>
      <c r="NZA1" s="159"/>
      <c r="NZB1" s="159"/>
      <c r="NZC1" s="159"/>
      <c r="NZD1" s="159"/>
      <c r="NZE1" s="159"/>
      <c r="NZF1" s="159"/>
      <c r="NZG1" s="159"/>
      <c r="NZH1" s="159"/>
      <c r="NZI1" s="159"/>
      <c r="NZJ1" s="159"/>
      <c r="NZK1" s="159"/>
      <c r="NZL1" s="159"/>
      <c r="NZM1" s="159"/>
      <c r="NZN1" s="159"/>
      <c r="NZO1" s="159"/>
      <c r="NZP1" s="159"/>
      <c r="NZQ1" s="159"/>
      <c r="NZR1" s="159"/>
      <c r="NZS1" s="159"/>
      <c r="NZT1" s="159"/>
      <c r="NZU1" s="159"/>
      <c r="NZV1" s="159"/>
      <c r="NZW1" s="159"/>
      <c r="NZX1" s="159"/>
      <c r="NZY1" s="159"/>
      <c r="NZZ1" s="159"/>
      <c r="OAA1" s="159"/>
      <c r="OAB1" s="159"/>
      <c r="OAC1" s="159"/>
      <c r="OAD1" s="159"/>
      <c r="OAE1" s="159"/>
      <c r="OAF1" s="159"/>
      <c r="OAG1" s="159"/>
      <c r="OAH1" s="159"/>
      <c r="OAI1" s="159"/>
      <c r="OAJ1" s="159"/>
      <c r="OAK1" s="159"/>
      <c r="OAL1" s="159"/>
      <c r="OAM1" s="159"/>
      <c r="OAN1" s="159"/>
      <c r="OAO1" s="159"/>
      <c r="OAP1" s="159"/>
      <c r="OAQ1" s="159"/>
      <c r="OAR1" s="159"/>
      <c r="OAS1" s="159"/>
      <c r="OAT1" s="159"/>
      <c r="OAU1" s="159"/>
      <c r="OAV1" s="159"/>
      <c r="OAW1" s="159"/>
      <c r="OAX1" s="159"/>
      <c r="OAY1" s="159"/>
      <c r="OAZ1" s="159"/>
      <c r="OBA1" s="159"/>
      <c r="OBB1" s="159"/>
      <c r="OBC1" s="159"/>
      <c r="OBD1" s="159"/>
      <c r="OBE1" s="159"/>
      <c r="OBF1" s="159"/>
      <c r="OBG1" s="159"/>
      <c r="OBH1" s="159"/>
      <c r="OBI1" s="159"/>
      <c r="OBJ1" s="159"/>
      <c r="OBK1" s="159"/>
      <c r="OBL1" s="159"/>
      <c r="OBM1" s="159"/>
      <c r="OBN1" s="159"/>
      <c r="OBO1" s="159"/>
      <c r="OBP1" s="159"/>
      <c r="OBQ1" s="159"/>
      <c r="OBR1" s="159"/>
      <c r="OBS1" s="159"/>
      <c r="OBT1" s="159"/>
      <c r="OBU1" s="159"/>
      <c r="OBV1" s="159"/>
      <c r="OBW1" s="159"/>
      <c r="OBX1" s="159"/>
      <c r="OBY1" s="159"/>
      <c r="OBZ1" s="159"/>
      <c r="OCA1" s="159"/>
      <c r="OCB1" s="159"/>
      <c r="OCC1" s="159"/>
      <c r="OCD1" s="159"/>
      <c r="OCE1" s="159"/>
      <c r="OCF1" s="159"/>
      <c r="OCG1" s="159"/>
      <c r="OCH1" s="159"/>
      <c r="OCI1" s="159"/>
      <c r="OCJ1" s="159"/>
      <c r="OCK1" s="159"/>
      <c r="OCL1" s="159"/>
      <c r="OCM1" s="159"/>
      <c r="OCN1" s="159"/>
      <c r="OCO1" s="159"/>
      <c r="OCP1" s="159"/>
      <c r="OCQ1" s="159"/>
      <c r="OCR1" s="159"/>
      <c r="OCS1" s="159"/>
      <c r="OCT1" s="159"/>
      <c r="OCU1" s="159"/>
      <c r="OCV1" s="159"/>
      <c r="OCW1" s="159"/>
      <c r="OCX1" s="159"/>
      <c r="OCY1" s="159"/>
      <c r="OCZ1" s="159"/>
      <c r="ODA1" s="159"/>
      <c r="ODB1" s="159"/>
      <c r="ODC1" s="159"/>
      <c r="ODD1" s="159"/>
      <c r="ODE1" s="159"/>
      <c r="ODF1" s="159"/>
      <c r="ODG1" s="159"/>
      <c r="ODH1" s="159"/>
      <c r="ODI1" s="159"/>
      <c r="ODJ1" s="159"/>
      <c r="ODK1" s="159"/>
      <c r="ODL1" s="159"/>
      <c r="OEW1" s="159"/>
      <c r="OFK1" s="159"/>
      <c r="OFL1" s="159"/>
      <c r="OFM1" s="159"/>
      <c r="OFN1" s="159"/>
      <c r="OFO1" s="159"/>
      <c r="OFP1" s="159"/>
      <c r="OFQ1" s="159"/>
      <c r="OFR1" s="159"/>
      <c r="OFS1" s="159"/>
      <c r="OFT1" s="159"/>
      <c r="OFU1" s="159"/>
      <c r="OFV1" s="159"/>
      <c r="OFW1" s="159"/>
      <c r="OFX1" s="159"/>
      <c r="OFY1" s="159"/>
      <c r="OFZ1" s="159"/>
      <c r="OGA1" s="159"/>
      <c r="OGB1" s="159"/>
      <c r="OGC1" s="159"/>
      <c r="OGD1" s="159"/>
      <c r="OGE1" s="159"/>
      <c r="OGF1" s="159"/>
      <c r="OGG1" s="159"/>
      <c r="OGH1" s="159"/>
      <c r="OGI1" s="159"/>
      <c r="OGJ1" s="159"/>
      <c r="OGK1" s="159"/>
      <c r="OGL1" s="159"/>
      <c r="OGM1" s="159"/>
      <c r="OGN1" s="159"/>
      <c r="OGO1" s="159"/>
      <c r="OGP1" s="159"/>
      <c r="OGQ1" s="159"/>
      <c r="OGR1" s="159"/>
      <c r="OGS1" s="159"/>
      <c r="OGT1" s="159"/>
      <c r="OGU1" s="159"/>
      <c r="OGV1" s="159"/>
      <c r="OGW1" s="159"/>
      <c r="OGX1" s="159"/>
      <c r="OGY1" s="159"/>
      <c r="OGZ1" s="159"/>
      <c r="OHA1" s="159"/>
      <c r="OHB1" s="159"/>
      <c r="OHC1" s="159"/>
      <c r="OHD1" s="159"/>
      <c r="OHE1" s="159"/>
      <c r="OHF1" s="159"/>
      <c r="OHG1" s="159"/>
      <c r="OHH1" s="159"/>
      <c r="OHI1" s="159"/>
      <c r="OHJ1" s="159"/>
      <c r="OHK1" s="159"/>
      <c r="OHL1" s="159"/>
      <c r="OHM1" s="159"/>
      <c r="OHN1" s="159"/>
      <c r="OHO1" s="159"/>
      <c r="OHP1" s="159"/>
      <c r="OHQ1" s="159"/>
      <c r="OHR1" s="159"/>
      <c r="OHS1" s="159"/>
      <c r="OHT1" s="159"/>
      <c r="OHU1" s="159"/>
      <c r="OHV1" s="159"/>
      <c r="OHW1" s="159"/>
      <c r="OHX1" s="159"/>
      <c r="OHY1" s="159"/>
      <c r="OHZ1" s="159"/>
      <c r="OIA1" s="159"/>
      <c r="OIB1" s="159"/>
      <c r="OIC1" s="159"/>
      <c r="OID1" s="159"/>
      <c r="OIE1" s="159"/>
      <c r="OIF1" s="159"/>
      <c r="OIG1" s="159"/>
      <c r="OIH1" s="159"/>
      <c r="OII1" s="159"/>
      <c r="OIJ1" s="159"/>
      <c r="OIK1" s="159"/>
      <c r="OIL1" s="159"/>
      <c r="OIM1" s="159"/>
      <c r="OIN1" s="159"/>
      <c r="OIO1" s="159"/>
      <c r="OIP1" s="159"/>
      <c r="OIQ1" s="159"/>
      <c r="OIR1" s="159"/>
      <c r="OIS1" s="159"/>
      <c r="OIT1" s="159"/>
      <c r="OIU1" s="159"/>
      <c r="OIV1" s="159"/>
      <c r="OIW1" s="159"/>
      <c r="OIX1" s="159"/>
      <c r="OIY1" s="159"/>
      <c r="OIZ1" s="159"/>
      <c r="OJA1" s="159"/>
      <c r="OJB1" s="159"/>
      <c r="OJC1" s="159"/>
      <c r="OJD1" s="159"/>
      <c r="OJE1" s="159"/>
      <c r="OJF1" s="159"/>
      <c r="OJG1" s="159"/>
      <c r="OJH1" s="159"/>
      <c r="OJI1" s="159"/>
      <c r="OJJ1" s="159"/>
      <c r="OJK1" s="159"/>
      <c r="OJL1" s="159"/>
      <c r="OJM1" s="159"/>
      <c r="OJN1" s="159"/>
      <c r="OJO1" s="159"/>
      <c r="OJP1" s="159"/>
      <c r="OJQ1" s="159"/>
      <c r="OJR1" s="159"/>
      <c r="OJS1" s="159"/>
      <c r="OJT1" s="159"/>
      <c r="OJU1" s="159"/>
      <c r="OJV1" s="159"/>
      <c r="OJW1" s="159"/>
      <c r="OJX1" s="159"/>
      <c r="OJY1" s="159"/>
      <c r="OJZ1" s="159"/>
      <c r="OKA1" s="159"/>
      <c r="OKB1" s="159"/>
      <c r="OKC1" s="159"/>
      <c r="OKD1" s="159"/>
      <c r="OKE1" s="159"/>
      <c r="OKF1" s="159"/>
      <c r="OKG1" s="159"/>
      <c r="OKH1" s="159"/>
      <c r="OKI1" s="159"/>
      <c r="OKJ1" s="159"/>
      <c r="OKK1" s="159"/>
      <c r="OKL1" s="159"/>
      <c r="OKM1" s="159"/>
      <c r="OKN1" s="159"/>
      <c r="OKO1" s="159"/>
      <c r="OKP1" s="159"/>
      <c r="OKQ1" s="159"/>
      <c r="OKR1" s="159"/>
      <c r="OKS1" s="159"/>
      <c r="OKT1" s="159"/>
      <c r="OKU1" s="159"/>
      <c r="OKV1" s="159"/>
      <c r="OKW1" s="159"/>
      <c r="OKX1" s="159"/>
      <c r="OKY1" s="159"/>
      <c r="OKZ1" s="159"/>
      <c r="OLA1" s="159"/>
      <c r="OLB1" s="159"/>
      <c r="OLC1" s="159"/>
      <c r="OLD1" s="159"/>
      <c r="OLE1" s="159"/>
      <c r="OLF1" s="159"/>
      <c r="OLG1" s="159"/>
      <c r="OLH1" s="159"/>
      <c r="OLI1" s="159"/>
      <c r="OLJ1" s="159"/>
      <c r="OLK1" s="159"/>
      <c r="OLL1" s="159"/>
      <c r="OLM1" s="159"/>
      <c r="OLN1" s="159"/>
      <c r="OLO1" s="159"/>
      <c r="OLP1" s="159"/>
      <c r="OLQ1" s="159"/>
      <c r="OLR1" s="159"/>
      <c r="OLS1" s="159"/>
      <c r="OLT1" s="159"/>
      <c r="OLU1" s="159"/>
      <c r="OLV1" s="159"/>
      <c r="OLW1" s="159"/>
      <c r="OLX1" s="159"/>
      <c r="OLY1" s="159"/>
      <c r="OLZ1" s="159"/>
      <c r="OMA1" s="159"/>
      <c r="OMB1" s="159"/>
      <c r="OMC1" s="159"/>
      <c r="OMD1" s="159"/>
      <c r="OME1" s="159"/>
      <c r="OMF1" s="159"/>
      <c r="OMG1" s="159"/>
      <c r="OMH1" s="159"/>
      <c r="OMI1" s="159"/>
      <c r="OMJ1" s="159"/>
      <c r="OMK1" s="159"/>
      <c r="OML1" s="159"/>
      <c r="OMM1" s="159"/>
      <c r="OMN1" s="159"/>
      <c r="OMO1" s="159"/>
      <c r="OMP1" s="159"/>
      <c r="OMQ1" s="159"/>
      <c r="OMR1" s="159"/>
      <c r="OMS1" s="159"/>
      <c r="OMT1" s="159"/>
      <c r="OMU1" s="159"/>
      <c r="OMV1" s="159"/>
      <c r="OMW1" s="159"/>
      <c r="OMX1" s="159"/>
      <c r="OMY1" s="159"/>
      <c r="OMZ1" s="159"/>
      <c r="ONA1" s="159"/>
      <c r="ONB1" s="159"/>
      <c r="ONC1" s="159"/>
      <c r="OND1" s="159"/>
      <c r="ONE1" s="159"/>
      <c r="ONF1" s="159"/>
      <c r="ONG1" s="159"/>
      <c r="ONH1" s="159"/>
      <c r="OOS1" s="159"/>
      <c r="OPG1" s="159"/>
      <c r="OPH1" s="159"/>
      <c r="OPI1" s="159"/>
      <c r="OPJ1" s="159"/>
      <c r="OPK1" s="159"/>
      <c r="OPL1" s="159"/>
      <c r="OPM1" s="159"/>
      <c r="OPN1" s="159"/>
      <c r="OPO1" s="159"/>
      <c r="OPP1" s="159"/>
      <c r="OPQ1" s="159"/>
      <c r="OPR1" s="159"/>
      <c r="OPS1" s="159"/>
      <c r="OPT1" s="159"/>
      <c r="OPU1" s="159"/>
      <c r="OPV1" s="159"/>
      <c r="OPW1" s="159"/>
      <c r="OPX1" s="159"/>
      <c r="OPY1" s="159"/>
      <c r="OPZ1" s="159"/>
      <c r="OQA1" s="159"/>
      <c r="OQB1" s="159"/>
      <c r="OQC1" s="159"/>
      <c r="OQD1" s="159"/>
      <c r="OQE1" s="159"/>
      <c r="OQF1" s="159"/>
      <c r="OQG1" s="159"/>
      <c r="OQH1" s="159"/>
      <c r="OQI1" s="159"/>
      <c r="OQJ1" s="159"/>
      <c r="OQK1" s="159"/>
      <c r="OQL1" s="159"/>
      <c r="OQM1" s="159"/>
      <c r="OQN1" s="159"/>
      <c r="OQO1" s="159"/>
      <c r="OQP1" s="159"/>
      <c r="OQQ1" s="159"/>
      <c r="OQR1" s="159"/>
      <c r="OQS1" s="159"/>
      <c r="OQT1" s="159"/>
      <c r="OQU1" s="159"/>
      <c r="OQV1" s="159"/>
      <c r="OQW1" s="159"/>
      <c r="OQX1" s="159"/>
      <c r="OQY1" s="159"/>
      <c r="OQZ1" s="159"/>
      <c r="ORA1" s="159"/>
      <c r="ORB1" s="159"/>
      <c r="ORC1" s="159"/>
      <c r="ORD1" s="159"/>
      <c r="ORE1" s="159"/>
      <c r="ORF1" s="159"/>
      <c r="ORG1" s="159"/>
      <c r="ORH1" s="159"/>
      <c r="ORI1" s="159"/>
      <c r="ORJ1" s="159"/>
      <c r="ORK1" s="159"/>
      <c r="ORL1" s="159"/>
      <c r="ORM1" s="159"/>
      <c r="ORN1" s="159"/>
      <c r="ORO1" s="159"/>
      <c r="ORP1" s="159"/>
      <c r="ORQ1" s="159"/>
      <c r="ORR1" s="159"/>
      <c r="ORS1" s="159"/>
      <c r="ORT1" s="159"/>
      <c r="ORU1" s="159"/>
      <c r="ORV1" s="159"/>
      <c r="ORW1" s="159"/>
      <c r="ORX1" s="159"/>
      <c r="ORY1" s="159"/>
      <c r="ORZ1" s="159"/>
      <c r="OSA1" s="159"/>
      <c r="OSB1" s="159"/>
      <c r="OSC1" s="159"/>
      <c r="OSD1" s="159"/>
      <c r="OSE1" s="159"/>
      <c r="OSF1" s="159"/>
      <c r="OSG1" s="159"/>
      <c r="OSH1" s="159"/>
      <c r="OSI1" s="159"/>
      <c r="OSJ1" s="159"/>
      <c r="OSK1" s="159"/>
      <c r="OSL1" s="159"/>
      <c r="OSM1" s="159"/>
      <c r="OSN1" s="159"/>
      <c r="OSO1" s="159"/>
      <c r="OSP1" s="159"/>
      <c r="OSQ1" s="159"/>
      <c r="OSR1" s="159"/>
      <c r="OSS1" s="159"/>
      <c r="OST1" s="159"/>
      <c r="OSU1" s="159"/>
      <c r="OSV1" s="159"/>
      <c r="OSW1" s="159"/>
      <c r="OSX1" s="159"/>
      <c r="OSY1" s="159"/>
      <c r="OSZ1" s="159"/>
      <c r="OTA1" s="159"/>
      <c r="OTB1" s="159"/>
      <c r="OTC1" s="159"/>
      <c r="OTD1" s="159"/>
      <c r="OTE1" s="159"/>
      <c r="OTF1" s="159"/>
      <c r="OTG1" s="159"/>
      <c r="OTH1" s="159"/>
      <c r="OTI1" s="159"/>
      <c r="OTJ1" s="159"/>
      <c r="OTK1" s="159"/>
      <c r="OTL1" s="159"/>
      <c r="OTM1" s="159"/>
      <c r="OTN1" s="159"/>
      <c r="OTO1" s="159"/>
      <c r="OTP1" s="159"/>
      <c r="OTQ1" s="159"/>
      <c r="OTR1" s="159"/>
      <c r="OTS1" s="159"/>
      <c r="OTT1" s="159"/>
      <c r="OTU1" s="159"/>
      <c r="OTV1" s="159"/>
      <c r="OTW1" s="159"/>
      <c r="OTX1" s="159"/>
      <c r="OTY1" s="159"/>
      <c r="OTZ1" s="159"/>
      <c r="OUA1" s="159"/>
      <c r="OUB1" s="159"/>
      <c r="OUC1" s="159"/>
      <c r="OUD1" s="159"/>
      <c r="OUE1" s="159"/>
      <c r="OUF1" s="159"/>
      <c r="OUG1" s="159"/>
      <c r="OUH1" s="159"/>
      <c r="OUI1" s="159"/>
      <c r="OUJ1" s="159"/>
      <c r="OUK1" s="159"/>
      <c r="OUL1" s="159"/>
      <c r="OUM1" s="159"/>
      <c r="OUN1" s="159"/>
      <c r="OUO1" s="159"/>
      <c r="OUP1" s="159"/>
      <c r="OUQ1" s="159"/>
      <c r="OUR1" s="159"/>
      <c r="OUS1" s="159"/>
      <c r="OUT1" s="159"/>
      <c r="OUU1" s="159"/>
      <c r="OUV1" s="159"/>
      <c r="OUW1" s="159"/>
      <c r="OUX1" s="159"/>
      <c r="OUY1" s="159"/>
      <c r="OUZ1" s="159"/>
      <c r="OVA1" s="159"/>
      <c r="OVB1" s="159"/>
      <c r="OVC1" s="159"/>
      <c r="OVD1" s="159"/>
      <c r="OVE1" s="159"/>
      <c r="OVF1" s="159"/>
      <c r="OVG1" s="159"/>
      <c r="OVH1" s="159"/>
      <c r="OVI1" s="159"/>
      <c r="OVJ1" s="159"/>
      <c r="OVK1" s="159"/>
      <c r="OVL1" s="159"/>
      <c r="OVM1" s="159"/>
      <c r="OVN1" s="159"/>
      <c r="OVO1" s="159"/>
      <c r="OVP1" s="159"/>
      <c r="OVQ1" s="159"/>
      <c r="OVR1" s="159"/>
      <c r="OVS1" s="159"/>
      <c r="OVT1" s="159"/>
      <c r="OVU1" s="159"/>
      <c r="OVV1" s="159"/>
      <c r="OVW1" s="159"/>
      <c r="OVX1" s="159"/>
      <c r="OVY1" s="159"/>
      <c r="OVZ1" s="159"/>
      <c r="OWA1" s="159"/>
      <c r="OWB1" s="159"/>
      <c r="OWC1" s="159"/>
      <c r="OWD1" s="159"/>
      <c r="OWE1" s="159"/>
      <c r="OWF1" s="159"/>
      <c r="OWG1" s="159"/>
      <c r="OWH1" s="159"/>
      <c r="OWI1" s="159"/>
      <c r="OWJ1" s="159"/>
      <c r="OWK1" s="159"/>
      <c r="OWL1" s="159"/>
      <c r="OWM1" s="159"/>
      <c r="OWN1" s="159"/>
      <c r="OWO1" s="159"/>
      <c r="OWP1" s="159"/>
      <c r="OWQ1" s="159"/>
      <c r="OWR1" s="159"/>
      <c r="OWS1" s="159"/>
      <c r="OWT1" s="159"/>
      <c r="OWU1" s="159"/>
      <c r="OWV1" s="159"/>
      <c r="OWW1" s="159"/>
      <c r="OWX1" s="159"/>
      <c r="OWY1" s="159"/>
      <c r="OWZ1" s="159"/>
      <c r="OXA1" s="159"/>
      <c r="OXB1" s="159"/>
      <c r="OXC1" s="159"/>
      <c r="OXD1" s="159"/>
      <c r="OYO1" s="159"/>
      <c r="OZC1" s="159"/>
      <c r="OZD1" s="159"/>
      <c r="OZE1" s="159"/>
      <c r="OZF1" s="159"/>
      <c r="OZG1" s="159"/>
      <c r="OZH1" s="159"/>
      <c r="OZI1" s="159"/>
      <c r="OZJ1" s="159"/>
      <c r="OZK1" s="159"/>
      <c r="OZL1" s="159"/>
      <c r="OZM1" s="159"/>
      <c r="OZN1" s="159"/>
      <c r="OZO1" s="159"/>
      <c r="OZP1" s="159"/>
      <c r="OZQ1" s="159"/>
      <c r="OZR1" s="159"/>
      <c r="OZS1" s="159"/>
      <c r="OZT1" s="159"/>
      <c r="OZU1" s="159"/>
      <c r="OZV1" s="159"/>
      <c r="OZW1" s="159"/>
      <c r="OZX1" s="159"/>
      <c r="OZY1" s="159"/>
      <c r="OZZ1" s="159"/>
      <c r="PAA1" s="159"/>
      <c r="PAB1" s="159"/>
      <c r="PAC1" s="159"/>
      <c r="PAD1" s="159"/>
      <c r="PAE1" s="159"/>
      <c r="PAF1" s="159"/>
      <c r="PAG1" s="159"/>
      <c r="PAH1" s="159"/>
      <c r="PAI1" s="159"/>
      <c r="PAJ1" s="159"/>
      <c r="PAK1" s="159"/>
      <c r="PAL1" s="159"/>
      <c r="PAM1" s="159"/>
      <c r="PAN1" s="159"/>
      <c r="PAO1" s="159"/>
      <c r="PAP1" s="159"/>
      <c r="PAQ1" s="159"/>
      <c r="PAR1" s="159"/>
      <c r="PAS1" s="159"/>
      <c r="PAT1" s="159"/>
      <c r="PAU1" s="159"/>
      <c r="PAV1" s="159"/>
      <c r="PAW1" s="159"/>
      <c r="PAX1" s="159"/>
      <c r="PAY1" s="159"/>
      <c r="PAZ1" s="159"/>
      <c r="PBA1" s="159"/>
      <c r="PBB1" s="159"/>
      <c r="PBC1" s="159"/>
      <c r="PBD1" s="159"/>
      <c r="PBE1" s="159"/>
      <c r="PBF1" s="159"/>
      <c r="PBG1" s="159"/>
      <c r="PBH1" s="159"/>
      <c r="PBI1" s="159"/>
      <c r="PBJ1" s="159"/>
      <c r="PBK1" s="159"/>
      <c r="PBL1" s="159"/>
      <c r="PBM1" s="159"/>
      <c r="PBN1" s="159"/>
      <c r="PBO1" s="159"/>
      <c r="PBP1" s="159"/>
      <c r="PBQ1" s="159"/>
      <c r="PBR1" s="159"/>
      <c r="PBS1" s="159"/>
      <c r="PBT1" s="159"/>
      <c r="PBU1" s="159"/>
      <c r="PBV1" s="159"/>
      <c r="PBW1" s="159"/>
      <c r="PBX1" s="159"/>
      <c r="PBY1" s="159"/>
      <c r="PBZ1" s="159"/>
      <c r="PCA1" s="159"/>
      <c r="PCB1" s="159"/>
      <c r="PCC1" s="159"/>
      <c r="PCD1" s="159"/>
      <c r="PCE1" s="159"/>
      <c r="PCF1" s="159"/>
      <c r="PCG1" s="159"/>
      <c r="PCH1" s="159"/>
      <c r="PCI1" s="159"/>
      <c r="PCJ1" s="159"/>
      <c r="PCK1" s="159"/>
      <c r="PCL1" s="159"/>
      <c r="PCM1" s="159"/>
      <c r="PCN1" s="159"/>
      <c r="PCO1" s="159"/>
      <c r="PCP1" s="159"/>
      <c r="PCQ1" s="159"/>
      <c r="PCR1" s="159"/>
      <c r="PCS1" s="159"/>
      <c r="PCT1" s="159"/>
      <c r="PCU1" s="159"/>
      <c r="PCV1" s="159"/>
      <c r="PCW1" s="159"/>
      <c r="PCX1" s="159"/>
      <c r="PCY1" s="159"/>
      <c r="PCZ1" s="159"/>
      <c r="PDA1" s="159"/>
      <c r="PDB1" s="159"/>
      <c r="PDC1" s="159"/>
      <c r="PDD1" s="159"/>
      <c r="PDE1" s="159"/>
      <c r="PDF1" s="159"/>
      <c r="PDG1" s="159"/>
      <c r="PDH1" s="159"/>
      <c r="PDI1" s="159"/>
      <c r="PDJ1" s="159"/>
      <c r="PDK1" s="159"/>
      <c r="PDL1" s="159"/>
      <c r="PDM1" s="159"/>
      <c r="PDN1" s="159"/>
      <c r="PDO1" s="159"/>
      <c r="PDP1" s="159"/>
      <c r="PDQ1" s="159"/>
      <c r="PDR1" s="159"/>
      <c r="PDS1" s="159"/>
      <c r="PDT1" s="159"/>
      <c r="PDU1" s="159"/>
      <c r="PDV1" s="159"/>
      <c r="PDW1" s="159"/>
      <c r="PDX1" s="159"/>
      <c r="PDY1" s="159"/>
      <c r="PDZ1" s="159"/>
      <c r="PEA1" s="159"/>
      <c r="PEB1" s="159"/>
      <c r="PEC1" s="159"/>
      <c r="PED1" s="159"/>
      <c r="PEE1" s="159"/>
      <c r="PEF1" s="159"/>
      <c r="PEG1" s="159"/>
      <c r="PEH1" s="159"/>
      <c r="PEI1" s="159"/>
      <c r="PEJ1" s="159"/>
      <c r="PEK1" s="159"/>
      <c r="PEL1" s="159"/>
      <c r="PEM1" s="159"/>
      <c r="PEN1" s="159"/>
      <c r="PEO1" s="159"/>
      <c r="PEP1" s="159"/>
      <c r="PEQ1" s="159"/>
      <c r="PER1" s="159"/>
      <c r="PES1" s="159"/>
      <c r="PET1" s="159"/>
      <c r="PEU1" s="159"/>
      <c r="PEV1" s="159"/>
      <c r="PEW1" s="159"/>
      <c r="PEX1" s="159"/>
      <c r="PEY1" s="159"/>
      <c r="PEZ1" s="159"/>
      <c r="PFA1" s="159"/>
      <c r="PFB1" s="159"/>
      <c r="PFC1" s="159"/>
      <c r="PFD1" s="159"/>
      <c r="PFE1" s="159"/>
      <c r="PFF1" s="159"/>
      <c r="PFG1" s="159"/>
      <c r="PFH1" s="159"/>
      <c r="PFI1" s="159"/>
      <c r="PFJ1" s="159"/>
      <c r="PFK1" s="159"/>
      <c r="PFL1" s="159"/>
      <c r="PFM1" s="159"/>
      <c r="PFN1" s="159"/>
      <c r="PFO1" s="159"/>
      <c r="PFP1" s="159"/>
      <c r="PFQ1" s="159"/>
      <c r="PFR1" s="159"/>
      <c r="PFS1" s="159"/>
      <c r="PFT1" s="159"/>
      <c r="PFU1" s="159"/>
      <c r="PFV1" s="159"/>
      <c r="PFW1" s="159"/>
      <c r="PFX1" s="159"/>
      <c r="PFY1" s="159"/>
      <c r="PFZ1" s="159"/>
      <c r="PGA1" s="159"/>
      <c r="PGB1" s="159"/>
      <c r="PGC1" s="159"/>
      <c r="PGD1" s="159"/>
      <c r="PGE1" s="159"/>
      <c r="PGF1" s="159"/>
      <c r="PGG1" s="159"/>
      <c r="PGH1" s="159"/>
      <c r="PGI1" s="159"/>
      <c r="PGJ1" s="159"/>
      <c r="PGK1" s="159"/>
      <c r="PGL1" s="159"/>
      <c r="PGM1" s="159"/>
      <c r="PGN1" s="159"/>
      <c r="PGO1" s="159"/>
      <c r="PGP1" s="159"/>
      <c r="PGQ1" s="159"/>
      <c r="PGR1" s="159"/>
      <c r="PGS1" s="159"/>
      <c r="PGT1" s="159"/>
      <c r="PGU1" s="159"/>
      <c r="PGV1" s="159"/>
      <c r="PGW1" s="159"/>
      <c r="PGX1" s="159"/>
      <c r="PGY1" s="159"/>
      <c r="PGZ1" s="159"/>
      <c r="PIK1" s="159"/>
      <c r="PIY1" s="159"/>
      <c r="PIZ1" s="159"/>
      <c r="PJA1" s="159"/>
      <c r="PJB1" s="159"/>
      <c r="PJC1" s="159"/>
      <c r="PJD1" s="159"/>
      <c r="PJE1" s="159"/>
      <c r="PJF1" s="159"/>
      <c r="PJG1" s="159"/>
      <c r="PJH1" s="159"/>
      <c r="PJI1" s="159"/>
      <c r="PJJ1" s="159"/>
      <c r="PJK1" s="159"/>
      <c r="PJL1" s="159"/>
      <c r="PJM1" s="159"/>
      <c r="PJN1" s="159"/>
      <c r="PJO1" s="159"/>
      <c r="PJP1" s="159"/>
      <c r="PJQ1" s="159"/>
      <c r="PJR1" s="159"/>
      <c r="PJS1" s="159"/>
      <c r="PJT1" s="159"/>
      <c r="PJU1" s="159"/>
      <c r="PJV1" s="159"/>
      <c r="PJW1" s="159"/>
      <c r="PJX1" s="159"/>
      <c r="PJY1" s="159"/>
      <c r="PJZ1" s="159"/>
      <c r="PKA1" s="159"/>
      <c r="PKB1" s="159"/>
      <c r="PKC1" s="159"/>
      <c r="PKD1" s="159"/>
      <c r="PKE1" s="159"/>
      <c r="PKF1" s="159"/>
      <c r="PKG1" s="159"/>
      <c r="PKH1" s="159"/>
      <c r="PKI1" s="159"/>
      <c r="PKJ1" s="159"/>
      <c r="PKK1" s="159"/>
      <c r="PKL1" s="159"/>
      <c r="PKM1" s="159"/>
      <c r="PKN1" s="159"/>
      <c r="PKO1" s="159"/>
      <c r="PKP1" s="159"/>
      <c r="PKQ1" s="159"/>
      <c r="PKR1" s="159"/>
      <c r="PKS1" s="159"/>
      <c r="PKT1" s="159"/>
      <c r="PKU1" s="159"/>
      <c r="PKV1" s="159"/>
      <c r="PKW1" s="159"/>
      <c r="PKX1" s="159"/>
      <c r="PKY1" s="159"/>
      <c r="PKZ1" s="159"/>
      <c r="PLA1" s="159"/>
      <c r="PLB1" s="159"/>
      <c r="PLC1" s="159"/>
      <c r="PLD1" s="159"/>
      <c r="PLE1" s="159"/>
      <c r="PLF1" s="159"/>
      <c r="PLG1" s="159"/>
      <c r="PLH1" s="159"/>
      <c r="PLI1" s="159"/>
      <c r="PLJ1" s="159"/>
      <c r="PLK1" s="159"/>
      <c r="PLL1" s="159"/>
      <c r="PLM1" s="159"/>
      <c r="PLN1" s="159"/>
      <c r="PLO1" s="159"/>
      <c r="PLP1" s="159"/>
      <c r="PLQ1" s="159"/>
      <c r="PLR1" s="159"/>
      <c r="PLS1" s="159"/>
      <c r="PLT1" s="159"/>
      <c r="PLU1" s="159"/>
      <c r="PLV1" s="159"/>
      <c r="PLW1" s="159"/>
      <c r="PLX1" s="159"/>
      <c r="PLY1" s="159"/>
      <c r="PLZ1" s="159"/>
      <c r="PMA1" s="159"/>
      <c r="PMB1" s="159"/>
      <c r="PMC1" s="159"/>
      <c r="PMD1" s="159"/>
      <c r="PME1" s="159"/>
      <c r="PMF1" s="159"/>
      <c r="PMG1" s="159"/>
      <c r="PMH1" s="159"/>
      <c r="PMI1" s="159"/>
      <c r="PMJ1" s="159"/>
      <c r="PMK1" s="159"/>
      <c r="PML1" s="159"/>
      <c r="PMM1" s="159"/>
      <c r="PMN1" s="159"/>
      <c r="PMO1" s="159"/>
      <c r="PMP1" s="159"/>
      <c r="PMQ1" s="159"/>
      <c r="PMR1" s="159"/>
      <c r="PMS1" s="159"/>
      <c r="PMT1" s="159"/>
      <c r="PMU1" s="159"/>
      <c r="PMV1" s="159"/>
      <c r="PMW1" s="159"/>
      <c r="PMX1" s="159"/>
      <c r="PMY1" s="159"/>
      <c r="PMZ1" s="159"/>
      <c r="PNA1" s="159"/>
      <c r="PNB1" s="159"/>
      <c r="PNC1" s="159"/>
      <c r="PND1" s="159"/>
      <c r="PNE1" s="159"/>
      <c r="PNF1" s="159"/>
      <c r="PNG1" s="159"/>
      <c r="PNH1" s="159"/>
      <c r="PNI1" s="159"/>
      <c r="PNJ1" s="159"/>
      <c r="PNK1" s="159"/>
      <c r="PNL1" s="159"/>
      <c r="PNM1" s="159"/>
      <c r="PNN1" s="159"/>
      <c r="PNO1" s="159"/>
      <c r="PNP1" s="159"/>
      <c r="PNQ1" s="159"/>
      <c r="PNR1" s="159"/>
      <c r="PNS1" s="159"/>
      <c r="PNT1" s="159"/>
      <c r="PNU1" s="159"/>
      <c r="PNV1" s="159"/>
      <c r="PNW1" s="159"/>
      <c r="PNX1" s="159"/>
      <c r="PNY1" s="159"/>
      <c r="PNZ1" s="159"/>
      <c r="POA1" s="159"/>
      <c r="POB1" s="159"/>
      <c r="POC1" s="159"/>
      <c r="POD1" s="159"/>
      <c r="POE1" s="159"/>
      <c r="POF1" s="159"/>
      <c r="POG1" s="159"/>
      <c r="POH1" s="159"/>
      <c r="POI1" s="159"/>
      <c r="POJ1" s="159"/>
      <c r="POK1" s="159"/>
      <c r="POL1" s="159"/>
      <c r="POM1" s="159"/>
      <c r="PON1" s="159"/>
      <c r="POO1" s="159"/>
      <c r="POP1" s="159"/>
      <c r="POQ1" s="159"/>
      <c r="POR1" s="159"/>
      <c r="POS1" s="159"/>
      <c r="POT1" s="159"/>
      <c r="POU1" s="159"/>
      <c r="POV1" s="159"/>
      <c r="POW1" s="159"/>
      <c r="POX1" s="159"/>
      <c r="POY1" s="159"/>
      <c r="POZ1" s="159"/>
      <c r="PPA1" s="159"/>
      <c r="PPB1" s="159"/>
      <c r="PPC1" s="159"/>
      <c r="PPD1" s="159"/>
      <c r="PPE1" s="159"/>
      <c r="PPF1" s="159"/>
      <c r="PPG1" s="159"/>
      <c r="PPH1" s="159"/>
      <c r="PPI1" s="159"/>
      <c r="PPJ1" s="159"/>
      <c r="PPK1" s="159"/>
      <c r="PPL1" s="159"/>
      <c r="PPM1" s="159"/>
      <c r="PPN1" s="159"/>
      <c r="PPO1" s="159"/>
      <c r="PPP1" s="159"/>
      <c r="PPQ1" s="159"/>
      <c r="PPR1" s="159"/>
      <c r="PPS1" s="159"/>
      <c r="PPT1" s="159"/>
      <c r="PPU1" s="159"/>
      <c r="PPV1" s="159"/>
      <c r="PPW1" s="159"/>
      <c r="PPX1" s="159"/>
      <c r="PPY1" s="159"/>
      <c r="PPZ1" s="159"/>
      <c r="PQA1" s="159"/>
      <c r="PQB1" s="159"/>
      <c r="PQC1" s="159"/>
      <c r="PQD1" s="159"/>
      <c r="PQE1" s="159"/>
      <c r="PQF1" s="159"/>
      <c r="PQG1" s="159"/>
      <c r="PQH1" s="159"/>
      <c r="PQI1" s="159"/>
      <c r="PQJ1" s="159"/>
      <c r="PQK1" s="159"/>
      <c r="PQL1" s="159"/>
      <c r="PQM1" s="159"/>
      <c r="PQN1" s="159"/>
      <c r="PQO1" s="159"/>
      <c r="PQP1" s="159"/>
      <c r="PQQ1" s="159"/>
      <c r="PQR1" s="159"/>
      <c r="PQS1" s="159"/>
      <c r="PQT1" s="159"/>
      <c r="PQU1" s="159"/>
      <c r="PQV1" s="159"/>
      <c r="PSG1" s="159"/>
      <c r="PSU1" s="159"/>
      <c r="PSV1" s="159"/>
      <c r="PSW1" s="159"/>
      <c r="PSX1" s="159"/>
      <c r="PSY1" s="159"/>
      <c r="PSZ1" s="159"/>
      <c r="PTA1" s="159"/>
      <c r="PTB1" s="159"/>
      <c r="PTC1" s="159"/>
      <c r="PTD1" s="159"/>
      <c r="PTE1" s="159"/>
      <c r="PTF1" s="159"/>
      <c r="PTG1" s="159"/>
      <c r="PTH1" s="159"/>
      <c r="PTI1" s="159"/>
      <c r="PTJ1" s="159"/>
      <c r="PTK1" s="159"/>
      <c r="PTL1" s="159"/>
      <c r="PTM1" s="159"/>
      <c r="PTN1" s="159"/>
      <c r="PTO1" s="159"/>
      <c r="PTP1" s="159"/>
      <c r="PTQ1" s="159"/>
      <c r="PTR1" s="159"/>
      <c r="PTS1" s="159"/>
      <c r="PTT1" s="159"/>
      <c r="PTU1" s="159"/>
      <c r="PTV1" s="159"/>
      <c r="PTW1" s="159"/>
      <c r="PTX1" s="159"/>
      <c r="PTY1" s="159"/>
      <c r="PTZ1" s="159"/>
      <c r="PUA1" s="159"/>
      <c r="PUB1" s="159"/>
      <c r="PUC1" s="159"/>
      <c r="PUD1" s="159"/>
      <c r="PUE1" s="159"/>
      <c r="PUF1" s="159"/>
      <c r="PUG1" s="159"/>
      <c r="PUH1" s="159"/>
      <c r="PUI1" s="159"/>
      <c r="PUJ1" s="159"/>
      <c r="PUK1" s="159"/>
      <c r="PUL1" s="159"/>
      <c r="PUM1" s="159"/>
      <c r="PUN1" s="159"/>
      <c r="PUO1" s="159"/>
      <c r="PUP1" s="159"/>
      <c r="PUQ1" s="159"/>
      <c r="PUR1" s="159"/>
      <c r="PUS1" s="159"/>
      <c r="PUT1" s="159"/>
      <c r="PUU1" s="159"/>
      <c r="PUV1" s="159"/>
      <c r="PUW1" s="159"/>
      <c r="PUX1" s="159"/>
      <c r="PUY1" s="159"/>
      <c r="PUZ1" s="159"/>
      <c r="PVA1" s="159"/>
      <c r="PVB1" s="159"/>
      <c r="PVC1" s="159"/>
      <c r="PVD1" s="159"/>
      <c r="PVE1" s="159"/>
      <c r="PVF1" s="159"/>
      <c r="PVG1" s="159"/>
      <c r="PVH1" s="159"/>
      <c r="PVI1" s="159"/>
      <c r="PVJ1" s="159"/>
      <c r="PVK1" s="159"/>
      <c r="PVL1" s="159"/>
      <c r="PVM1" s="159"/>
      <c r="PVN1" s="159"/>
      <c r="PVO1" s="159"/>
      <c r="PVP1" s="159"/>
      <c r="PVQ1" s="159"/>
      <c r="PVR1" s="159"/>
      <c r="PVS1" s="159"/>
      <c r="PVT1" s="159"/>
      <c r="PVU1" s="159"/>
      <c r="PVV1" s="159"/>
      <c r="PVW1" s="159"/>
      <c r="PVX1" s="159"/>
      <c r="PVY1" s="159"/>
      <c r="PVZ1" s="159"/>
      <c r="PWA1" s="159"/>
      <c r="PWB1" s="159"/>
      <c r="PWC1" s="159"/>
      <c r="PWD1" s="159"/>
      <c r="PWE1" s="159"/>
      <c r="PWF1" s="159"/>
      <c r="PWG1" s="159"/>
      <c r="PWH1" s="159"/>
      <c r="PWI1" s="159"/>
      <c r="PWJ1" s="159"/>
      <c r="PWK1" s="159"/>
      <c r="PWL1" s="159"/>
      <c r="PWM1" s="159"/>
      <c r="PWN1" s="159"/>
      <c r="PWO1" s="159"/>
      <c r="PWP1" s="159"/>
      <c r="PWQ1" s="159"/>
      <c r="PWR1" s="159"/>
      <c r="PWS1" s="159"/>
      <c r="PWT1" s="159"/>
      <c r="PWU1" s="159"/>
      <c r="PWV1" s="159"/>
      <c r="PWW1" s="159"/>
      <c r="PWX1" s="159"/>
      <c r="PWY1" s="159"/>
      <c r="PWZ1" s="159"/>
      <c r="PXA1" s="159"/>
      <c r="PXB1" s="159"/>
      <c r="PXC1" s="159"/>
      <c r="PXD1" s="159"/>
      <c r="PXE1" s="159"/>
      <c r="PXF1" s="159"/>
      <c r="PXG1" s="159"/>
      <c r="PXH1" s="159"/>
      <c r="PXI1" s="159"/>
      <c r="PXJ1" s="159"/>
      <c r="PXK1" s="159"/>
      <c r="PXL1" s="159"/>
      <c r="PXM1" s="159"/>
      <c r="PXN1" s="159"/>
      <c r="PXO1" s="159"/>
      <c r="PXP1" s="159"/>
      <c r="PXQ1" s="159"/>
      <c r="PXR1" s="159"/>
      <c r="PXS1" s="159"/>
      <c r="PXT1" s="159"/>
      <c r="PXU1" s="159"/>
      <c r="PXV1" s="159"/>
      <c r="PXW1" s="159"/>
      <c r="PXX1" s="159"/>
      <c r="PXY1" s="159"/>
      <c r="PXZ1" s="159"/>
      <c r="PYA1" s="159"/>
      <c r="PYB1" s="159"/>
      <c r="PYC1" s="159"/>
      <c r="PYD1" s="159"/>
      <c r="PYE1" s="159"/>
      <c r="PYF1" s="159"/>
      <c r="PYG1" s="159"/>
      <c r="PYH1" s="159"/>
      <c r="PYI1" s="159"/>
      <c r="PYJ1" s="159"/>
      <c r="PYK1" s="159"/>
      <c r="PYL1" s="159"/>
      <c r="PYM1" s="159"/>
      <c r="PYN1" s="159"/>
      <c r="PYO1" s="159"/>
      <c r="PYP1" s="159"/>
      <c r="PYQ1" s="159"/>
      <c r="PYR1" s="159"/>
      <c r="PYS1" s="159"/>
      <c r="PYT1" s="159"/>
      <c r="PYU1" s="159"/>
      <c r="PYV1" s="159"/>
      <c r="PYW1" s="159"/>
      <c r="PYX1" s="159"/>
      <c r="PYY1" s="159"/>
      <c r="PYZ1" s="159"/>
      <c r="PZA1" s="159"/>
      <c r="PZB1" s="159"/>
      <c r="PZC1" s="159"/>
      <c r="PZD1" s="159"/>
      <c r="PZE1" s="159"/>
      <c r="PZF1" s="159"/>
      <c r="PZG1" s="159"/>
      <c r="PZH1" s="159"/>
      <c r="PZI1" s="159"/>
      <c r="PZJ1" s="159"/>
      <c r="PZK1" s="159"/>
      <c r="PZL1" s="159"/>
      <c r="PZM1" s="159"/>
      <c r="PZN1" s="159"/>
      <c r="PZO1" s="159"/>
      <c r="PZP1" s="159"/>
      <c r="PZQ1" s="159"/>
      <c r="PZR1" s="159"/>
      <c r="PZS1" s="159"/>
      <c r="PZT1" s="159"/>
      <c r="PZU1" s="159"/>
      <c r="PZV1" s="159"/>
      <c r="PZW1" s="159"/>
      <c r="PZX1" s="159"/>
      <c r="PZY1" s="159"/>
      <c r="PZZ1" s="159"/>
      <c r="QAA1" s="159"/>
      <c r="QAB1" s="159"/>
      <c r="QAC1" s="159"/>
      <c r="QAD1" s="159"/>
      <c r="QAE1" s="159"/>
      <c r="QAF1" s="159"/>
      <c r="QAG1" s="159"/>
      <c r="QAH1" s="159"/>
      <c r="QAI1" s="159"/>
      <c r="QAJ1" s="159"/>
      <c r="QAK1" s="159"/>
      <c r="QAL1" s="159"/>
      <c r="QAM1" s="159"/>
      <c r="QAN1" s="159"/>
      <c r="QAO1" s="159"/>
      <c r="QAP1" s="159"/>
      <c r="QAQ1" s="159"/>
      <c r="QAR1" s="159"/>
      <c r="QCC1" s="159"/>
      <c r="QCQ1" s="159"/>
      <c r="QCR1" s="159"/>
      <c r="QCS1" s="159"/>
      <c r="QCT1" s="159"/>
      <c r="QCU1" s="159"/>
      <c r="QCV1" s="159"/>
      <c r="QCW1" s="159"/>
      <c r="QCX1" s="159"/>
      <c r="QCY1" s="159"/>
      <c r="QCZ1" s="159"/>
      <c r="QDA1" s="159"/>
      <c r="QDB1" s="159"/>
      <c r="QDC1" s="159"/>
      <c r="QDD1" s="159"/>
      <c r="QDE1" s="159"/>
      <c r="QDF1" s="159"/>
      <c r="QDG1" s="159"/>
      <c r="QDH1" s="159"/>
      <c r="QDI1" s="159"/>
      <c r="QDJ1" s="159"/>
      <c r="QDK1" s="159"/>
      <c r="QDL1" s="159"/>
      <c r="QDM1" s="159"/>
      <c r="QDN1" s="159"/>
      <c r="QDO1" s="159"/>
      <c r="QDP1" s="159"/>
      <c r="QDQ1" s="159"/>
      <c r="QDR1" s="159"/>
      <c r="QDS1" s="159"/>
      <c r="QDT1" s="159"/>
      <c r="QDU1" s="159"/>
      <c r="QDV1" s="159"/>
      <c r="QDW1" s="159"/>
      <c r="QDX1" s="159"/>
      <c r="QDY1" s="159"/>
      <c r="QDZ1" s="159"/>
      <c r="QEA1" s="159"/>
      <c r="QEB1" s="159"/>
      <c r="QEC1" s="159"/>
      <c r="QED1" s="159"/>
      <c r="QEE1" s="159"/>
      <c r="QEF1" s="159"/>
      <c r="QEG1" s="159"/>
      <c r="QEH1" s="159"/>
      <c r="QEI1" s="159"/>
      <c r="QEJ1" s="159"/>
      <c r="QEK1" s="159"/>
      <c r="QEL1" s="159"/>
      <c r="QEM1" s="159"/>
      <c r="QEN1" s="159"/>
      <c r="QEO1" s="159"/>
      <c r="QEP1" s="159"/>
      <c r="QEQ1" s="159"/>
      <c r="QER1" s="159"/>
      <c r="QES1" s="159"/>
      <c r="QET1" s="159"/>
      <c r="QEU1" s="159"/>
      <c r="QEV1" s="159"/>
      <c r="QEW1" s="159"/>
      <c r="QEX1" s="159"/>
      <c r="QEY1" s="159"/>
      <c r="QEZ1" s="159"/>
      <c r="QFA1" s="159"/>
      <c r="QFB1" s="159"/>
      <c r="QFC1" s="159"/>
      <c r="QFD1" s="159"/>
      <c r="QFE1" s="159"/>
      <c r="QFF1" s="159"/>
      <c r="QFG1" s="159"/>
      <c r="QFH1" s="159"/>
      <c r="QFI1" s="159"/>
      <c r="QFJ1" s="159"/>
      <c r="QFK1" s="159"/>
      <c r="QFL1" s="159"/>
      <c r="QFM1" s="159"/>
      <c r="QFN1" s="159"/>
      <c r="QFO1" s="159"/>
      <c r="QFP1" s="159"/>
      <c r="QFQ1" s="159"/>
      <c r="QFR1" s="159"/>
      <c r="QFS1" s="159"/>
      <c r="QFT1" s="159"/>
      <c r="QFU1" s="159"/>
      <c r="QFV1" s="159"/>
      <c r="QFW1" s="159"/>
      <c r="QFX1" s="159"/>
      <c r="QFY1" s="159"/>
      <c r="QFZ1" s="159"/>
      <c r="QGA1" s="159"/>
      <c r="QGB1" s="159"/>
      <c r="QGC1" s="159"/>
      <c r="QGD1" s="159"/>
      <c r="QGE1" s="159"/>
      <c r="QGF1" s="159"/>
      <c r="QGG1" s="159"/>
      <c r="QGH1" s="159"/>
      <c r="QGI1" s="159"/>
      <c r="QGJ1" s="159"/>
      <c r="QGK1" s="159"/>
      <c r="QGL1" s="159"/>
      <c r="QGM1" s="159"/>
      <c r="QGN1" s="159"/>
      <c r="QGO1" s="159"/>
      <c r="QGP1" s="159"/>
      <c r="QGQ1" s="159"/>
      <c r="QGR1" s="159"/>
      <c r="QGS1" s="159"/>
      <c r="QGT1" s="159"/>
      <c r="QGU1" s="159"/>
      <c r="QGV1" s="159"/>
      <c r="QGW1" s="159"/>
      <c r="QGX1" s="159"/>
      <c r="QGY1" s="159"/>
      <c r="QGZ1" s="159"/>
      <c r="QHA1" s="159"/>
      <c r="QHB1" s="159"/>
      <c r="QHC1" s="159"/>
      <c r="QHD1" s="159"/>
      <c r="QHE1" s="159"/>
      <c r="QHF1" s="159"/>
      <c r="QHG1" s="159"/>
      <c r="QHH1" s="159"/>
      <c r="QHI1" s="159"/>
      <c r="QHJ1" s="159"/>
      <c r="QHK1" s="159"/>
      <c r="QHL1" s="159"/>
      <c r="QHM1" s="159"/>
      <c r="QHN1" s="159"/>
      <c r="QHO1" s="159"/>
      <c r="QHP1" s="159"/>
      <c r="QHQ1" s="159"/>
      <c r="QHR1" s="159"/>
      <c r="QHS1" s="159"/>
      <c r="QHT1" s="159"/>
      <c r="QHU1" s="159"/>
      <c r="QHV1" s="159"/>
      <c r="QHW1" s="159"/>
      <c r="QHX1" s="159"/>
      <c r="QHY1" s="159"/>
      <c r="QHZ1" s="159"/>
      <c r="QIA1" s="159"/>
      <c r="QIB1" s="159"/>
      <c r="QIC1" s="159"/>
      <c r="QID1" s="159"/>
      <c r="QIE1" s="159"/>
      <c r="QIF1" s="159"/>
      <c r="QIG1" s="159"/>
      <c r="QIH1" s="159"/>
      <c r="QII1" s="159"/>
      <c r="QIJ1" s="159"/>
      <c r="QIK1" s="159"/>
      <c r="QIL1" s="159"/>
      <c r="QIM1" s="159"/>
      <c r="QIN1" s="159"/>
      <c r="QIO1" s="159"/>
      <c r="QIP1" s="159"/>
      <c r="QIQ1" s="159"/>
      <c r="QIR1" s="159"/>
      <c r="QIS1" s="159"/>
      <c r="QIT1" s="159"/>
      <c r="QIU1" s="159"/>
      <c r="QIV1" s="159"/>
      <c r="QIW1" s="159"/>
      <c r="QIX1" s="159"/>
      <c r="QIY1" s="159"/>
      <c r="QIZ1" s="159"/>
      <c r="QJA1" s="159"/>
      <c r="QJB1" s="159"/>
      <c r="QJC1" s="159"/>
      <c r="QJD1" s="159"/>
      <c r="QJE1" s="159"/>
      <c r="QJF1" s="159"/>
      <c r="QJG1" s="159"/>
      <c r="QJH1" s="159"/>
      <c r="QJI1" s="159"/>
      <c r="QJJ1" s="159"/>
      <c r="QJK1" s="159"/>
      <c r="QJL1" s="159"/>
      <c r="QJM1" s="159"/>
      <c r="QJN1" s="159"/>
      <c r="QJO1" s="159"/>
      <c r="QJP1" s="159"/>
      <c r="QJQ1" s="159"/>
      <c r="QJR1" s="159"/>
      <c r="QJS1" s="159"/>
      <c r="QJT1" s="159"/>
      <c r="QJU1" s="159"/>
      <c r="QJV1" s="159"/>
      <c r="QJW1" s="159"/>
      <c r="QJX1" s="159"/>
      <c r="QJY1" s="159"/>
      <c r="QJZ1" s="159"/>
      <c r="QKA1" s="159"/>
      <c r="QKB1" s="159"/>
      <c r="QKC1" s="159"/>
      <c r="QKD1" s="159"/>
      <c r="QKE1" s="159"/>
      <c r="QKF1" s="159"/>
      <c r="QKG1" s="159"/>
      <c r="QKH1" s="159"/>
      <c r="QKI1" s="159"/>
      <c r="QKJ1" s="159"/>
      <c r="QKK1" s="159"/>
      <c r="QKL1" s="159"/>
      <c r="QKM1" s="159"/>
      <c r="QKN1" s="159"/>
      <c r="QLY1" s="159"/>
      <c r="QMM1" s="159"/>
      <c r="QMN1" s="159"/>
      <c r="QMO1" s="159"/>
      <c r="QMP1" s="159"/>
      <c r="QMQ1" s="159"/>
      <c r="QMR1" s="159"/>
      <c r="QMS1" s="159"/>
      <c r="QMT1" s="159"/>
      <c r="QMU1" s="159"/>
      <c r="QMV1" s="159"/>
      <c r="QMW1" s="159"/>
      <c r="QMX1" s="159"/>
      <c r="QMY1" s="159"/>
      <c r="QMZ1" s="159"/>
      <c r="QNA1" s="159"/>
      <c r="QNB1" s="159"/>
      <c r="QNC1" s="159"/>
      <c r="QND1" s="159"/>
      <c r="QNE1" s="159"/>
      <c r="QNF1" s="159"/>
      <c r="QNG1" s="159"/>
      <c r="QNH1" s="159"/>
      <c r="QNI1" s="159"/>
      <c r="QNJ1" s="159"/>
      <c r="QNK1" s="159"/>
      <c r="QNL1" s="159"/>
      <c r="QNM1" s="159"/>
      <c r="QNN1" s="159"/>
      <c r="QNO1" s="159"/>
      <c r="QNP1" s="159"/>
      <c r="QNQ1" s="159"/>
      <c r="QNR1" s="159"/>
      <c r="QNS1" s="159"/>
      <c r="QNT1" s="159"/>
      <c r="QNU1" s="159"/>
      <c r="QNV1" s="159"/>
      <c r="QNW1" s="159"/>
      <c r="QNX1" s="159"/>
      <c r="QNY1" s="159"/>
      <c r="QNZ1" s="159"/>
      <c r="QOA1" s="159"/>
      <c r="QOB1" s="159"/>
      <c r="QOC1" s="159"/>
      <c r="QOD1" s="159"/>
      <c r="QOE1" s="159"/>
      <c r="QOF1" s="159"/>
      <c r="QOG1" s="159"/>
      <c r="QOH1" s="159"/>
      <c r="QOI1" s="159"/>
      <c r="QOJ1" s="159"/>
      <c r="QOK1" s="159"/>
      <c r="QOL1" s="159"/>
      <c r="QOM1" s="159"/>
      <c r="QON1" s="159"/>
      <c r="QOO1" s="159"/>
      <c r="QOP1" s="159"/>
      <c r="QOQ1" s="159"/>
      <c r="QOR1" s="159"/>
      <c r="QOS1" s="159"/>
      <c r="QOT1" s="159"/>
      <c r="QOU1" s="159"/>
      <c r="QOV1" s="159"/>
      <c r="QOW1" s="159"/>
      <c r="QOX1" s="159"/>
      <c r="QOY1" s="159"/>
      <c r="QOZ1" s="159"/>
      <c r="QPA1" s="159"/>
      <c r="QPB1" s="159"/>
      <c r="QPC1" s="159"/>
      <c r="QPD1" s="159"/>
      <c r="QPE1" s="159"/>
      <c r="QPF1" s="159"/>
      <c r="QPG1" s="159"/>
      <c r="QPH1" s="159"/>
      <c r="QPI1" s="159"/>
      <c r="QPJ1" s="159"/>
      <c r="QPK1" s="159"/>
      <c r="QPL1" s="159"/>
      <c r="QPM1" s="159"/>
      <c r="QPN1" s="159"/>
      <c r="QPO1" s="159"/>
      <c r="QPP1" s="159"/>
      <c r="QPQ1" s="159"/>
      <c r="QPR1" s="159"/>
      <c r="QPS1" s="159"/>
      <c r="QPT1" s="159"/>
      <c r="QPU1" s="159"/>
      <c r="QPV1" s="159"/>
      <c r="QPW1" s="159"/>
      <c r="QPX1" s="159"/>
      <c r="QPY1" s="159"/>
      <c r="QPZ1" s="159"/>
      <c r="QQA1" s="159"/>
      <c r="QQB1" s="159"/>
      <c r="QQC1" s="159"/>
      <c r="QQD1" s="159"/>
      <c r="QQE1" s="159"/>
      <c r="QQF1" s="159"/>
      <c r="QQG1" s="159"/>
      <c r="QQH1" s="159"/>
      <c r="QQI1" s="159"/>
      <c r="QQJ1" s="159"/>
      <c r="QQK1" s="159"/>
      <c r="QQL1" s="159"/>
      <c r="QQM1" s="159"/>
      <c r="QQN1" s="159"/>
      <c r="QQO1" s="159"/>
      <c r="QQP1" s="159"/>
      <c r="QQQ1" s="159"/>
      <c r="QQR1" s="159"/>
      <c r="QQS1" s="159"/>
      <c r="QQT1" s="159"/>
      <c r="QQU1" s="159"/>
      <c r="QQV1" s="159"/>
      <c r="QQW1" s="159"/>
      <c r="QQX1" s="159"/>
      <c r="QQY1" s="159"/>
      <c r="QQZ1" s="159"/>
      <c r="QRA1" s="159"/>
      <c r="QRB1" s="159"/>
      <c r="QRC1" s="159"/>
      <c r="QRD1" s="159"/>
      <c r="QRE1" s="159"/>
      <c r="QRF1" s="159"/>
      <c r="QRG1" s="159"/>
      <c r="QRH1" s="159"/>
      <c r="QRI1" s="159"/>
      <c r="QRJ1" s="159"/>
      <c r="QRK1" s="159"/>
      <c r="QRL1" s="159"/>
      <c r="QRM1" s="159"/>
      <c r="QRN1" s="159"/>
      <c r="QRO1" s="159"/>
      <c r="QRP1" s="159"/>
      <c r="QRQ1" s="159"/>
      <c r="QRR1" s="159"/>
      <c r="QRS1" s="159"/>
      <c r="QRT1" s="159"/>
      <c r="QRU1" s="159"/>
      <c r="QRV1" s="159"/>
      <c r="QRW1" s="159"/>
      <c r="QRX1" s="159"/>
      <c r="QRY1" s="159"/>
      <c r="QRZ1" s="159"/>
      <c r="QSA1" s="159"/>
      <c r="QSB1" s="159"/>
      <c r="QSC1" s="159"/>
      <c r="QSD1" s="159"/>
      <c r="QSE1" s="159"/>
      <c r="QSF1" s="159"/>
      <c r="QSG1" s="159"/>
      <c r="QSH1" s="159"/>
      <c r="QSI1" s="159"/>
      <c r="QSJ1" s="159"/>
      <c r="QSK1" s="159"/>
      <c r="QSL1" s="159"/>
      <c r="QSM1" s="159"/>
      <c r="QSN1" s="159"/>
      <c r="QSO1" s="159"/>
      <c r="QSP1" s="159"/>
      <c r="QSQ1" s="159"/>
      <c r="QSR1" s="159"/>
      <c r="QSS1" s="159"/>
      <c r="QST1" s="159"/>
      <c r="QSU1" s="159"/>
      <c r="QSV1" s="159"/>
      <c r="QSW1" s="159"/>
      <c r="QSX1" s="159"/>
      <c r="QSY1" s="159"/>
      <c r="QSZ1" s="159"/>
      <c r="QTA1" s="159"/>
      <c r="QTB1" s="159"/>
      <c r="QTC1" s="159"/>
      <c r="QTD1" s="159"/>
      <c r="QTE1" s="159"/>
      <c r="QTF1" s="159"/>
      <c r="QTG1" s="159"/>
      <c r="QTH1" s="159"/>
      <c r="QTI1" s="159"/>
      <c r="QTJ1" s="159"/>
      <c r="QTK1" s="159"/>
      <c r="QTL1" s="159"/>
      <c r="QTM1" s="159"/>
      <c r="QTN1" s="159"/>
      <c r="QTO1" s="159"/>
      <c r="QTP1" s="159"/>
      <c r="QTQ1" s="159"/>
      <c r="QTR1" s="159"/>
      <c r="QTS1" s="159"/>
      <c r="QTT1" s="159"/>
      <c r="QTU1" s="159"/>
      <c r="QTV1" s="159"/>
      <c r="QTW1" s="159"/>
      <c r="QTX1" s="159"/>
      <c r="QTY1" s="159"/>
      <c r="QTZ1" s="159"/>
      <c r="QUA1" s="159"/>
      <c r="QUB1" s="159"/>
      <c r="QUC1" s="159"/>
      <c r="QUD1" s="159"/>
      <c r="QUE1" s="159"/>
      <c r="QUF1" s="159"/>
      <c r="QUG1" s="159"/>
      <c r="QUH1" s="159"/>
      <c r="QUI1" s="159"/>
      <c r="QUJ1" s="159"/>
      <c r="QVU1" s="159"/>
      <c r="QWI1" s="159"/>
      <c r="QWJ1" s="159"/>
      <c r="QWK1" s="159"/>
      <c r="QWL1" s="159"/>
      <c r="QWM1" s="159"/>
      <c r="QWN1" s="159"/>
      <c r="QWO1" s="159"/>
      <c r="QWP1" s="159"/>
      <c r="QWQ1" s="159"/>
      <c r="QWR1" s="159"/>
      <c r="QWS1" s="159"/>
      <c r="QWT1" s="159"/>
      <c r="QWU1" s="159"/>
      <c r="QWV1" s="159"/>
      <c r="QWW1" s="159"/>
      <c r="QWX1" s="159"/>
      <c r="QWY1" s="159"/>
      <c r="QWZ1" s="159"/>
      <c r="QXA1" s="159"/>
      <c r="QXB1" s="159"/>
      <c r="QXC1" s="159"/>
      <c r="QXD1" s="159"/>
      <c r="QXE1" s="159"/>
      <c r="QXF1" s="159"/>
      <c r="QXG1" s="159"/>
      <c r="QXH1" s="159"/>
      <c r="QXI1" s="159"/>
      <c r="QXJ1" s="159"/>
      <c r="QXK1" s="159"/>
      <c r="QXL1" s="159"/>
      <c r="QXM1" s="159"/>
      <c r="QXN1" s="159"/>
      <c r="QXO1" s="159"/>
      <c r="QXP1" s="159"/>
      <c r="QXQ1" s="159"/>
      <c r="QXR1" s="159"/>
      <c r="QXS1" s="159"/>
      <c r="QXT1" s="159"/>
      <c r="QXU1" s="159"/>
      <c r="QXV1" s="159"/>
      <c r="QXW1" s="159"/>
      <c r="QXX1" s="159"/>
      <c r="QXY1" s="159"/>
      <c r="QXZ1" s="159"/>
      <c r="QYA1" s="159"/>
      <c r="QYB1" s="159"/>
      <c r="QYC1" s="159"/>
      <c r="QYD1" s="159"/>
      <c r="QYE1" s="159"/>
      <c r="QYF1" s="159"/>
      <c r="QYG1" s="159"/>
      <c r="QYH1" s="159"/>
      <c r="QYI1" s="159"/>
      <c r="QYJ1" s="159"/>
      <c r="QYK1" s="159"/>
      <c r="QYL1" s="159"/>
      <c r="QYM1" s="159"/>
      <c r="QYN1" s="159"/>
      <c r="QYO1" s="159"/>
      <c r="QYP1" s="159"/>
      <c r="QYQ1" s="159"/>
      <c r="QYR1" s="159"/>
      <c r="QYS1" s="159"/>
      <c r="QYT1" s="159"/>
      <c r="QYU1" s="159"/>
      <c r="QYV1" s="159"/>
      <c r="QYW1" s="159"/>
      <c r="QYX1" s="159"/>
      <c r="QYY1" s="159"/>
      <c r="QYZ1" s="159"/>
      <c r="QZA1" s="159"/>
      <c r="QZB1" s="159"/>
      <c r="QZC1" s="159"/>
      <c r="QZD1" s="159"/>
      <c r="QZE1" s="159"/>
      <c r="QZF1" s="159"/>
      <c r="QZG1" s="159"/>
      <c r="QZH1" s="159"/>
      <c r="QZI1" s="159"/>
      <c r="QZJ1" s="159"/>
      <c r="QZK1" s="159"/>
      <c r="QZL1" s="159"/>
      <c r="QZM1" s="159"/>
      <c r="QZN1" s="159"/>
      <c r="QZO1" s="159"/>
      <c r="QZP1" s="159"/>
      <c r="QZQ1" s="159"/>
      <c r="QZR1" s="159"/>
      <c r="QZS1" s="159"/>
      <c r="QZT1" s="159"/>
      <c r="QZU1" s="159"/>
      <c r="QZV1" s="159"/>
      <c r="QZW1" s="159"/>
      <c r="QZX1" s="159"/>
      <c r="QZY1" s="159"/>
      <c r="QZZ1" s="159"/>
      <c r="RAA1" s="159"/>
      <c r="RAB1" s="159"/>
      <c r="RAC1" s="159"/>
      <c r="RAD1" s="159"/>
      <c r="RAE1" s="159"/>
      <c r="RAF1" s="159"/>
      <c r="RAG1" s="159"/>
      <c r="RAH1" s="159"/>
      <c r="RAI1" s="159"/>
      <c r="RAJ1" s="159"/>
      <c r="RAK1" s="159"/>
      <c r="RAL1" s="159"/>
      <c r="RAM1" s="159"/>
      <c r="RAN1" s="159"/>
      <c r="RAO1" s="159"/>
      <c r="RAP1" s="159"/>
      <c r="RAQ1" s="159"/>
      <c r="RAR1" s="159"/>
      <c r="RAS1" s="159"/>
      <c r="RAT1" s="159"/>
      <c r="RAU1" s="159"/>
      <c r="RAV1" s="159"/>
      <c r="RAW1" s="159"/>
      <c r="RAX1" s="159"/>
      <c r="RAY1" s="159"/>
      <c r="RAZ1" s="159"/>
      <c r="RBA1" s="159"/>
      <c r="RBB1" s="159"/>
      <c r="RBC1" s="159"/>
      <c r="RBD1" s="159"/>
      <c r="RBE1" s="159"/>
      <c r="RBF1" s="159"/>
      <c r="RBG1" s="159"/>
      <c r="RBH1" s="159"/>
      <c r="RBI1" s="159"/>
      <c r="RBJ1" s="159"/>
      <c r="RBK1" s="159"/>
      <c r="RBL1" s="159"/>
      <c r="RBM1" s="159"/>
      <c r="RBN1" s="159"/>
      <c r="RBO1" s="159"/>
      <c r="RBP1" s="159"/>
      <c r="RBQ1" s="159"/>
      <c r="RBR1" s="159"/>
      <c r="RBS1" s="159"/>
      <c r="RBT1" s="159"/>
      <c r="RBU1" s="159"/>
      <c r="RBV1" s="159"/>
      <c r="RBW1" s="159"/>
      <c r="RBX1" s="159"/>
      <c r="RBY1" s="159"/>
      <c r="RBZ1" s="159"/>
      <c r="RCA1" s="159"/>
      <c r="RCB1" s="159"/>
      <c r="RCC1" s="159"/>
      <c r="RCD1" s="159"/>
      <c r="RCE1" s="159"/>
      <c r="RCF1" s="159"/>
      <c r="RCG1" s="159"/>
      <c r="RCH1" s="159"/>
      <c r="RCI1" s="159"/>
      <c r="RCJ1" s="159"/>
      <c r="RCK1" s="159"/>
      <c r="RCL1" s="159"/>
      <c r="RCM1" s="159"/>
      <c r="RCN1" s="159"/>
      <c r="RCO1" s="159"/>
      <c r="RCP1" s="159"/>
      <c r="RCQ1" s="159"/>
      <c r="RCR1" s="159"/>
      <c r="RCS1" s="159"/>
      <c r="RCT1" s="159"/>
      <c r="RCU1" s="159"/>
      <c r="RCV1" s="159"/>
      <c r="RCW1" s="159"/>
      <c r="RCX1" s="159"/>
      <c r="RCY1" s="159"/>
      <c r="RCZ1" s="159"/>
      <c r="RDA1" s="159"/>
      <c r="RDB1" s="159"/>
      <c r="RDC1" s="159"/>
      <c r="RDD1" s="159"/>
      <c r="RDE1" s="159"/>
      <c r="RDF1" s="159"/>
      <c r="RDG1" s="159"/>
      <c r="RDH1" s="159"/>
      <c r="RDI1" s="159"/>
      <c r="RDJ1" s="159"/>
      <c r="RDK1" s="159"/>
      <c r="RDL1" s="159"/>
      <c r="RDM1" s="159"/>
      <c r="RDN1" s="159"/>
      <c r="RDO1" s="159"/>
      <c r="RDP1" s="159"/>
      <c r="RDQ1" s="159"/>
      <c r="RDR1" s="159"/>
      <c r="RDS1" s="159"/>
      <c r="RDT1" s="159"/>
      <c r="RDU1" s="159"/>
      <c r="RDV1" s="159"/>
      <c r="RDW1" s="159"/>
      <c r="RDX1" s="159"/>
      <c r="RDY1" s="159"/>
      <c r="RDZ1" s="159"/>
      <c r="REA1" s="159"/>
      <c r="REB1" s="159"/>
      <c r="REC1" s="159"/>
      <c r="RED1" s="159"/>
      <c r="REE1" s="159"/>
      <c r="REF1" s="159"/>
      <c r="RFQ1" s="159"/>
      <c r="RGE1" s="159"/>
      <c r="RGF1" s="159"/>
      <c r="RGG1" s="159"/>
      <c r="RGH1" s="159"/>
      <c r="RGI1" s="159"/>
      <c r="RGJ1" s="159"/>
      <c r="RGK1" s="159"/>
      <c r="RGL1" s="159"/>
      <c r="RGM1" s="159"/>
      <c r="RGN1" s="159"/>
      <c r="RGO1" s="159"/>
      <c r="RGP1" s="159"/>
      <c r="RGQ1" s="159"/>
      <c r="RGR1" s="159"/>
      <c r="RGS1" s="159"/>
      <c r="RGT1" s="159"/>
      <c r="RGU1" s="159"/>
      <c r="RGV1" s="159"/>
      <c r="RGW1" s="159"/>
      <c r="RGX1" s="159"/>
      <c r="RGY1" s="159"/>
      <c r="RGZ1" s="159"/>
      <c r="RHA1" s="159"/>
      <c r="RHB1" s="159"/>
      <c r="RHC1" s="159"/>
      <c r="RHD1" s="159"/>
      <c r="RHE1" s="159"/>
      <c r="RHF1" s="159"/>
      <c r="RHG1" s="159"/>
      <c r="RHH1" s="159"/>
      <c r="RHI1" s="159"/>
      <c r="RHJ1" s="159"/>
      <c r="RHK1" s="159"/>
      <c r="RHL1" s="159"/>
      <c r="RHM1" s="159"/>
      <c r="RHN1" s="159"/>
      <c r="RHO1" s="159"/>
      <c r="RHP1" s="159"/>
      <c r="RHQ1" s="159"/>
      <c r="RHR1" s="159"/>
      <c r="RHS1" s="159"/>
      <c r="RHT1" s="159"/>
      <c r="RHU1" s="159"/>
      <c r="RHV1" s="159"/>
      <c r="RHW1" s="159"/>
      <c r="RHX1" s="159"/>
      <c r="RHY1" s="159"/>
      <c r="RHZ1" s="159"/>
      <c r="RIA1" s="159"/>
      <c r="RIB1" s="159"/>
      <c r="RIC1" s="159"/>
      <c r="RID1" s="159"/>
      <c r="RIE1" s="159"/>
      <c r="RIF1" s="159"/>
      <c r="RIG1" s="159"/>
      <c r="RIH1" s="159"/>
      <c r="RII1" s="159"/>
      <c r="RIJ1" s="159"/>
      <c r="RIK1" s="159"/>
      <c r="RIL1" s="159"/>
      <c r="RIM1" s="159"/>
      <c r="RIN1" s="159"/>
      <c r="RIO1" s="159"/>
      <c r="RIP1" s="159"/>
      <c r="RIQ1" s="159"/>
      <c r="RIR1" s="159"/>
      <c r="RIS1" s="159"/>
      <c r="RIT1" s="159"/>
      <c r="RIU1" s="159"/>
      <c r="RIV1" s="159"/>
      <c r="RIW1" s="159"/>
      <c r="RIX1" s="159"/>
      <c r="RIY1" s="159"/>
      <c r="RIZ1" s="159"/>
      <c r="RJA1" s="159"/>
      <c r="RJB1" s="159"/>
      <c r="RJC1" s="159"/>
      <c r="RJD1" s="159"/>
      <c r="RJE1" s="159"/>
      <c r="RJF1" s="159"/>
      <c r="RJG1" s="159"/>
      <c r="RJH1" s="159"/>
      <c r="RJI1" s="159"/>
      <c r="RJJ1" s="159"/>
      <c r="RJK1" s="159"/>
      <c r="RJL1" s="159"/>
      <c r="RJM1" s="159"/>
      <c r="RJN1" s="159"/>
      <c r="RJO1" s="159"/>
      <c r="RJP1" s="159"/>
      <c r="RJQ1" s="159"/>
      <c r="RJR1" s="159"/>
      <c r="RJS1" s="159"/>
      <c r="RJT1" s="159"/>
      <c r="RJU1" s="159"/>
      <c r="RJV1" s="159"/>
      <c r="RJW1" s="159"/>
      <c r="RJX1" s="159"/>
      <c r="RJY1" s="159"/>
      <c r="RJZ1" s="159"/>
      <c r="RKA1" s="159"/>
      <c r="RKB1" s="159"/>
      <c r="RKC1" s="159"/>
      <c r="RKD1" s="159"/>
      <c r="RKE1" s="159"/>
      <c r="RKF1" s="159"/>
      <c r="RKG1" s="159"/>
      <c r="RKH1" s="159"/>
      <c r="RKI1" s="159"/>
      <c r="RKJ1" s="159"/>
      <c r="RKK1" s="159"/>
      <c r="RKL1" s="159"/>
      <c r="RKM1" s="159"/>
      <c r="RKN1" s="159"/>
      <c r="RKO1" s="159"/>
      <c r="RKP1" s="159"/>
      <c r="RKQ1" s="159"/>
      <c r="RKR1" s="159"/>
      <c r="RKS1" s="159"/>
      <c r="RKT1" s="159"/>
      <c r="RKU1" s="159"/>
      <c r="RKV1" s="159"/>
      <c r="RKW1" s="159"/>
      <c r="RKX1" s="159"/>
      <c r="RKY1" s="159"/>
      <c r="RKZ1" s="159"/>
      <c r="RLA1" s="159"/>
      <c r="RLB1" s="159"/>
      <c r="RLC1" s="159"/>
      <c r="RLD1" s="159"/>
      <c r="RLE1" s="159"/>
      <c r="RLF1" s="159"/>
      <c r="RLG1" s="159"/>
      <c r="RLH1" s="159"/>
      <c r="RLI1" s="159"/>
      <c r="RLJ1" s="159"/>
      <c r="RLK1" s="159"/>
      <c r="RLL1" s="159"/>
      <c r="RLM1" s="159"/>
      <c r="RLN1" s="159"/>
      <c r="RLO1" s="159"/>
      <c r="RLP1" s="159"/>
      <c r="RLQ1" s="159"/>
      <c r="RLR1" s="159"/>
      <c r="RLS1" s="159"/>
      <c r="RLT1" s="159"/>
      <c r="RLU1" s="159"/>
      <c r="RLV1" s="159"/>
      <c r="RLW1" s="159"/>
      <c r="RLX1" s="159"/>
      <c r="RLY1" s="159"/>
      <c r="RLZ1" s="159"/>
      <c r="RMA1" s="159"/>
      <c r="RMB1" s="159"/>
      <c r="RMC1" s="159"/>
      <c r="RMD1" s="159"/>
      <c r="RME1" s="159"/>
      <c r="RMF1" s="159"/>
      <c r="RMG1" s="159"/>
      <c r="RMH1" s="159"/>
      <c r="RMI1" s="159"/>
      <c r="RMJ1" s="159"/>
      <c r="RMK1" s="159"/>
      <c r="RML1" s="159"/>
      <c r="RMM1" s="159"/>
      <c r="RMN1" s="159"/>
      <c r="RMO1" s="159"/>
      <c r="RMP1" s="159"/>
      <c r="RMQ1" s="159"/>
      <c r="RMR1" s="159"/>
      <c r="RMS1" s="159"/>
      <c r="RMT1" s="159"/>
      <c r="RMU1" s="159"/>
      <c r="RMV1" s="159"/>
      <c r="RMW1" s="159"/>
      <c r="RMX1" s="159"/>
      <c r="RMY1" s="159"/>
      <c r="RMZ1" s="159"/>
      <c r="RNA1" s="159"/>
      <c r="RNB1" s="159"/>
      <c r="RNC1" s="159"/>
      <c r="RND1" s="159"/>
      <c r="RNE1" s="159"/>
      <c r="RNF1" s="159"/>
      <c r="RNG1" s="159"/>
      <c r="RNH1" s="159"/>
      <c r="RNI1" s="159"/>
      <c r="RNJ1" s="159"/>
      <c r="RNK1" s="159"/>
      <c r="RNL1" s="159"/>
      <c r="RNM1" s="159"/>
      <c r="RNN1" s="159"/>
      <c r="RNO1" s="159"/>
      <c r="RNP1" s="159"/>
      <c r="RNQ1" s="159"/>
      <c r="RNR1" s="159"/>
      <c r="RNS1" s="159"/>
      <c r="RNT1" s="159"/>
      <c r="RNU1" s="159"/>
      <c r="RNV1" s="159"/>
      <c r="RNW1" s="159"/>
      <c r="RNX1" s="159"/>
      <c r="RNY1" s="159"/>
      <c r="RNZ1" s="159"/>
      <c r="ROA1" s="159"/>
      <c r="ROB1" s="159"/>
      <c r="RPM1" s="159"/>
      <c r="RQA1" s="159"/>
      <c r="RQB1" s="159"/>
      <c r="RQC1" s="159"/>
      <c r="RQD1" s="159"/>
      <c r="RQE1" s="159"/>
      <c r="RQF1" s="159"/>
      <c r="RQG1" s="159"/>
      <c r="RQH1" s="159"/>
      <c r="RQI1" s="159"/>
      <c r="RQJ1" s="159"/>
      <c r="RQK1" s="159"/>
      <c r="RQL1" s="159"/>
      <c r="RQM1" s="159"/>
      <c r="RQN1" s="159"/>
      <c r="RQO1" s="159"/>
      <c r="RQP1" s="159"/>
      <c r="RQQ1" s="159"/>
      <c r="RQR1" s="159"/>
      <c r="RQS1" s="159"/>
      <c r="RQT1" s="159"/>
      <c r="RQU1" s="159"/>
      <c r="RQV1" s="159"/>
      <c r="RQW1" s="159"/>
      <c r="RQX1" s="159"/>
      <c r="RQY1" s="159"/>
      <c r="RQZ1" s="159"/>
      <c r="RRA1" s="159"/>
      <c r="RRB1" s="159"/>
      <c r="RRC1" s="159"/>
      <c r="RRD1" s="159"/>
      <c r="RRE1" s="159"/>
      <c r="RRF1" s="159"/>
      <c r="RRG1" s="159"/>
      <c r="RRH1" s="159"/>
      <c r="RRI1" s="159"/>
      <c r="RRJ1" s="159"/>
      <c r="RRK1" s="159"/>
      <c r="RRL1" s="159"/>
      <c r="RRM1" s="159"/>
      <c r="RRN1" s="159"/>
      <c r="RRO1" s="159"/>
      <c r="RRP1" s="159"/>
      <c r="RRQ1" s="159"/>
      <c r="RRR1" s="159"/>
      <c r="RRS1" s="159"/>
      <c r="RRT1" s="159"/>
      <c r="RRU1" s="159"/>
      <c r="RRV1" s="159"/>
      <c r="RRW1" s="159"/>
      <c r="RRX1" s="159"/>
      <c r="RRY1" s="159"/>
      <c r="RRZ1" s="159"/>
      <c r="RSA1" s="159"/>
      <c r="RSB1" s="159"/>
      <c r="RSC1" s="159"/>
      <c r="RSD1" s="159"/>
      <c r="RSE1" s="159"/>
      <c r="RSF1" s="159"/>
      <c r="RSG1" s="159"/>
      <c r="RSH1" s="159"/>
      <c r="RSI1" s="159"/>
      <c r="RSJ1" s="159"/>
      <c r="RSK1" s="159"/>
      <c r="RSL1" s="159"/>
      <c r="RSM1" s="159"/>
      <c r="RSN1" s="159"/>
      <c r="RSO1" s="159"/>
      <c r="RSP1" s="159"/>
      <c r="RSQ1" s="159"/>
      <c r="RSR1" s="159"/>
      <c r="RSS1" s="159"/>
      <c r="RST1" s="159"/>
      <c r="RSU1" s="159"/>
      <c r="RSV1" s="159"/>
      <c r="RSW1" s="159"/>
      <c r="RSX1" s="159"/>
      <c r="RSY1" s="159"/>
      <c r="RSZ1" s="159"/>
      <c r="RTA1" s="159"/>
      <c r="RTB1" s="159"/>
      <c r="RTC1" s="159"/>
      <c r="RTD1" s="159"/>
      <c r="RTE1" s="159"/>
      <c r="RTF1" s="159"/>
      <c r="RTG1" s="159"/>
      <c r="RTH1" s="159"/>
      <c r="RTI1" s="159"/>
      <c r="RTJ1" s="159"/>
      <c r="RTK1" s="159"/>
      <c r="RTL1" s="159"/>
      <c r="RTM1" s="159"/>
      <c r="RTN1" s="159"/>
      <c r="RTO1" s="159"/>
      <c r="RTP1" s="159"/>
      <c r="RTQ1" s="159"/>
      <c r="RTR1" s="159"/>
      <c r="RTS1" s="159"/>
      <c r="RTT1" s="159"/>
      <c r="RTU1" s="159"/>
      <c r="RTV1" s="159"/>
      <c r="RTW1" s="159"/>
      <c r="RTX1" s="159"/>
      <c r="RTY1" s="159"/>
      <c r="RTZ1" s="159"/>
      <c r="RUA1" s="159"/>
      <c r="RUB1" s="159"/>
      <c r="RUC1" s="159"/>
      <c r="RUD1" s="159"/>
      <c r="RUE1" s="159"/>
      <c r="RUF1" s="159"/>
      <c r="RUG1" s="159"/>
      <c r="RUH1" s="159"/>
      <c r="RUI1" s="159"/>
      <c r="RUJ1" s="159"/>
      <c r="RUK1" s="159"/>
      <c r="RUL1" s="159"/>
      <c r="RUM1" s="159"/>
      <c r="RUN1" s="159"/>
      <c r="RUO1" s="159"/>
      <c r="RUP1" s="159"/>
      <c r="RUQ1" s="159"/>
      <c r="RUR1" s="159"/>
      <c r="RUS1" s="159"/>
      <c r="RUT1" s="159"/>
      <c r="RUU1" s="159"/>
      <c r="RUV1" s="159"/>
      <c r="RUW1" s="159"/>
      <c r="RUX1" s="159"/>
      <c r="RUY1" s="159"/>
      <c r="RUZ1" s="159"/>
      <c r="RVA1" s="159"/>
      <c r="RVB1" s="159"/>
      <c r="RVC1" s="159"/>
      <c r="RVD1" s="159"/>
      <c r="RVE1" s="159"/>
      <c r="RVF1" s="159"/>
      <c r="RVG1" s="159"/>
      <c r="RVH1" s="159"/>
      <c r="RVI1" s="159"/>
      <c r="RVJ1" s="159"/>
      <c r="RVK1" s="159"/>
      <c r="RVL1" s="159"/>
      <c r="RVM1" s="159"/>
      <c r="RVN1" s="159"/>
      <c r="RVO1" s="159"/>
      <c r="RVP1" s="159"/>
      <c r="RVQ1" s="159"/>
      <c r="RVR1" s="159"/>
      <c r="RVS1" s="159"/>
      <c r="RVT1" s="159"/>
      <c r="RVU1" s="159"/>
      <c r="RVV1" s="159"/>
      <c r="RVW1" s="159"/>
      <c r="RVX1" s="159"/>
      <c r="RVY1" s="159"/>
      <c r="RVZ1" s="159"/>
      <c r="RWA1" s="159"/>
      <c r="RWB1" s="159"/>
      <c r="RWC1" s="159"/>
      <c r="RWD1" s="159"/>
      <c r="RWE1" s="159"/>
      <c r="RWF1" s="159"/>
      <c r="RWG1" s="159"/>
      <c r="RWH1" s="159"/>
      <c r="RWI1" s="159"/>
      <c r="RWJ1" s="159"/>
      <c r="RWK1" s="159"/>
      <c r="RWL1" s="159"/>
      <c r="RWM1" s="159"/>
      <c r="RWN1" s="159"/>
      <c r="RWO1" s="159"/>
      <c r="RWP1" s="159"/>
      <c r="RWQ1" s="159"/>
      <c r="RWR1" s="159"/>
      <c r="RWS1" s="159"/>
      <c r="RWT1" s="159"/>
      <c r="RWU1" s="159"/>
      <c r="RWV1" s="159"/>
      <c r="RWW1" s="159"/>
      <c r="RWX1" s="159"/>
      <c r="RWY1" s="159"/>
      <c r="RWZ1" s="159"/>
      <c r="RXA1" s="159"/>
      <c r="RXB1" s="159"/>
      <c r="RXC1" s="159"/>
      <c r="RXD1" s="159"/>
      <c r="RXE1" s="159"/>
      <c r="RXF1" s="159"/>
      <c r="RXG1" s="159"/>
      <c r="RXH1" s="159"/>
      <c r="RXI1" s="159"/>
      <c r="RXJ1" s="159"/>
      <c r="RXK1" s="159"/>
      <c r="RXL1" s="159"/>
      <c r="RXM1" s="159"/>
      <c r="RXN1" s="159"/>
      <c r="RXO1" s="159"/>
      <c r="RXP1" s="159"/>
      <c r="RXQ1" s="159"/>
      <c r="RXR1" s="159"/>
      <c r="RXS1" s="159"/>
      <c r="RXT1" s="159"/>
      <c r="RXU1" s="159"/>
      <c r="RXV1" s="159"/>
      <c r="RXW1" s="159"/>
      <c r="RXX1" s="159"/>
      <c r="RZI1" s="159"/>
      <c r="RZW1" s="159"/>
      <c r="RZX1" s="159"/>
      <c r="RZY1" s="159"/>
      <c r="RZZ1" s="159"/>
      <c r="SAA1" s="159"/>
      <c r="SAB1" s="159"/>
      <c r="SAC1" s="159"/>
      <c r="SAD1" s="159"/>
      <c r="SAE1" s="159"/>
      <c r="SAF1" s="159"/>
      <c r="SAG1" s="159"/>
      <c r="SAH1" s="159"/>
      <c r="SAI1" s="159"/>
      <c r="SAJ1" s="159"/>
      <c r="SAK1" s="159"/>
      <c r="SAL1" s="159"/>
      <c r="SAM1" s="159"/>
      <c r="SAN1" s="159"/>
      <c r="SAO1" s="159"/>
      <c r="SAP1" s="159"/>
      <c r="SAQ1" s="159"/>
      <c r="SAR1" s="159"/>
      <c r="SAS1" s="159"/>
      <c r="SAT1" s="159"/>
      <c r="SAU1" s="159"/>
      <c r="SAV1" s="159"/>
      <c r="SAW1" s="159"/>
      <c r="SAX1" s="159"/>
      <c r="SAY1" s="159"/>
      <c r="SAZ1" s="159"/>
      <c r="SBA1" s="159"/>
      <c r="SBB1" s="159"/>
      <c r="SBC1" s="159"/>
      <c r="SBD1" s="159"/>
      <c r="SBE1" s="159"/>
      <c r="SBF1" s="159"/>
      <c r="SBG1" s="159"/>
      <c r="SBH1" s="159"/>
      <c r="SBI1" s="159"/>
      <c r="SBJ1" s="159"/>
      <c r="SBK1" s="159"/>
      <c r="SBL1" s="159"/>
      <c r="SBM1" s="159"/>
      <c r="SBN1" s="159"/>
      <c r="SBO1" s="159"/>
      <c r="SBP1" s="159"/>
      <c r="SBQ1" s="159"/>
      <c r="SBR1" s="159"/>
      <c r="SBS1" s="159"/>
      <c r="SBT1" s="159"/>
      <c r="SBU1" s="159"/>
      <c r="SBV1" s="159"/>
      <c r="SBW1" s="159"/>
      <c r="SBX1" s="159"/>
      <c r="SBY1" s="159"/>
      <c r="SBZ1" s="159"/>
      <c r="SCA1" s="159"/>
      <c r="SCB1" s="159"/>
      <c r="SCC1" s="159"/>
      <c r="SCD1" s="159"/>
      <c r="SCE1" s="159"/>
      <c r="SCF1" s="159"/>
      <c r="SCG1" s="159"/>
      <c r="SCH1" s="159"/>
      <c r="SCI1" s="159"/>
      <c r="SCJ1" s="159"/>
      <c r="SCK1" s="159"/>
      <c r="SCL1" s="159"/>
      <c r="SCM1" s="159"/>
      <c r="SCN1" s="159"/>
      <c r="SCO1" s="159"/>
      <c r="SCP1" s="159"/>
      <c r="SCQ1" s="159"/>
      <c r="SCR1" s="159"/>
      <c r="SCS1" s="159"/>
      <c r="SCT1" s="159"/>
      <c r="SCU1" s="159"/>
      <c r="SCV1" s="159"/>
      <c r="SCW1" s="159"/>
      <c r="SCX1" s="159"/>
      <c r="SCY1" s="159"/>
      <c r="SCZ1" s="159"/>
      <c r="SDA1" s="159"/>
      <c r="SDB1" s="159"/>
      <c r="SDC1" s="159"/>
      <c r="SDD1" s="159"/>
      <c r="SDE1" s="159"/>
      <c r="SDF1" s="159"/>
      <c r="SDG1" s="159"/>
      <c r="SDH1" s="159"/>
      <c r="SDI1" s="159"/>
      <c r="SDJ1" s="159"/>
      <c r="SDK1" s="159"/>
      <c r="SDL1" s="159"/>
      <c r="SDM1" s="159"/>
      <c r="SDN1" s="159"/>
      <c r="SDO1" s="159"/>
      <c r="SDP1" s="159"/>
      <c r="SDQ1" s="159"/>
      <c r="SDR1" s="159"/>
      <c r="SDS1" s="159"/>
      <c r="SDT1" s="159"/>
      <c r="SDU1" s="159"/>
      <c r="SDV1" s="159"/>
      <c r="SDW1" s="159"/>
      <c r="SDX1" s="159"/>
      <c r="SDY1" s="159"/>
      <c r="SDZ1" s="159"/>
      <c r="SEA1" s="159"/>
      <c r="SEB1" s="159"/>
      <c r="SEC1" s="159"/>
      <c r="SED1" s="159"/>
      <c r="SEE1" s="159"/>
      <c r="SEF1" s="159"/>
      <c r="SEG1" s="159"/>
      <c r="SEH1" s="159"/>
      <c r="SEI1" s="159"/>
      <c r="SEJ1" s="159"/>
      <c r="SEK1" s="159"/>
      <c r="SEL1" s="159"/>
      <c r="SEM1" s="159"/>
      <c r="SEN1" s="159"/>
      <c r="SEO1" s="159"/>
      <c r="SEP1" s="159"/>
      <c r="SEQ1" s="159"/>
      <c r="SER1" s="159"/>
      <c r="SES1" s="159"/>
      <c r="SET1" s="159"/>
      <c r="SEU1" s="159"/>
      <c r="SEV1" s="159"/>
      <c r="SEW1" s="159"/>
      <c r="SEX1" s="159"/>
      <c r="SEY1" s="159"/>
      <c r="SEZ1" s="159"/>
      <c r="SFA1" s="159"/>
      <c r="SFB1" s="159"/>
      <c r="SFC1" s="159"/>
      <c r="SFD1" s="159"/>
      <c r="SFE1" s="159"/>
      <c r="SFF1" s="159"/>
      <c r="SFG1" s="159"/>
      <c r="SFH1" s="159"/>
      <c r="SFI1" s="159"/>
      <c r="SFJ1" s="159"/>
      <c r="SFK1" s="159"/>
      <c r="SFL1" s="159"/>
      <c r="SFM1" s="159"/>
      <c r="SFN1" s="159"/>
      <c r="SFO1" s="159"/>
      <c r="SFP1" s="159"/>
      <c r="SFQ1" s="159"/>
      <c r="SFR1" s="159"/>
      <c r="SFS1" s="159"/>
      <c r="SFT1" s="159"/>
      <c r="SFU1" s="159"/>
      <c r="SFV1" s="159"/>
      <c r="SFW1" s="159"/>
      <c r="SFX1" s="159"/>
      <c r="SFY1" s="159"/>
      <c r="SFZ1" s="159"/>
      <c r="SGA1" s="159"/>
      <c r="SGB1" s="159"/>
      <c r="SGC1" s="159"/>
      <c r="SGD1" s="159"/>
      <c r="SGE1" s="159"/>
      <c r="SGF1" s="159"/>
      <c r="SGG1" s="159"/>
      <c r="SGH1" s="159"/>
      <c r="SGI1" s="159"/>
      <c r="SGJ1" s="159"/>
      <c r="SGK1" s="159"/>
      <c r="SGL1" s="159"/>
      <c r="SGM1" s="159"/>
      <c r="SGN1" s="159"/>
      <c r="SGO1" s="159"/>
      <c r="SGP1" s="159"/>
      <c r="SGQ1" s="159"/>
      <c r="SGR1" s="159"/>
      <c r="SGS1" s="159"/>
      <c r="SGT1" s="159"/>
      <c r="SGU1" s="159"/>
      <c r="SGV1" s="159"/>
      <c r="SGW1" s="159"/>
      <c r="SGX1" s="159"/>
      <c r="SGY1" s="159"/>
      <c r="SGZ1" s="159"/>
      <c r="SHA1" s="159"/>
      <c r="SHB1" s="159"/>
      <c r="SHC1" s="159"/>
      <c r="SHD1" s="159"/>
      <c r="SHE1" s="159"/>
      <c r="SHF1" s="159"/>
      <c r="SHG1" s="159"/>
      <c r="SHH1" s="159"/>
      <c r="SHI1" s="159"/>
      <c r="SHJ1" s="159"/>
      <c r="SHK1" s="159"/>
      <c r="SHL1" s="159"/>
      <c r="SHM1" s="159"/>
      <c r="SHN1" s="159"/>
      <c r="SHO1" s="159"/>
      <c r="SHP1" s="159"/>
      <c r="SHQ1" s="159"/>
      <c r="SHR1" s="159"/>
      <c r="SHS1" s="159"/>
      <c r="SHT1" s="159"/>
      <c r="SJE1" s="159"/>
      <c r="SJS1" s="159"/>
      <c r="SJT1" s="159"/>
      <c r="SJU1" s="159"/>
      <c r="SJV1" s="159"/>
      <c r="SJW1" s="159"/>
      <c r="SJX1" s="159"/>
      <c r="SJY1" s="159"/>
      <c r="SJZ1" s="159"/>
      <c r="SKA1" s="159"/>
      <c r="SKB1" s="159"/>
      <c r="SKC1" s="159"/>
      <c r="SKD1" s="159"/>
      <c r="SKE1" s="159"/>
      <c r="SKF1" s="159"/>
      <c r="SKG1" s="159"/>
      <c r="SKH1" s="159"/>
      <c r="SKI1" s="159"/>
      <c r="SKJ1" s="159"/>
      <c r="SKK1" s="159"/>
      <c r="SKL1" s="159"/>
      <c r="SKM1" s="159"/>
      <c r="SKN1" s="159"/>
      <c r="SKO1" s="159"/>
      <c r="SKP1" s="159"/>
      <c r="SKQ1" s="159"/>
      <c r="SKR1" s="159"/>
      <c r="SKS1" s="159"/>
      <c r="SKT1" s="159"/>
      <c r="SKU1" s="159"/>
      <c r="SKV1" s="159"/>
      <c r="SKW1" s="159"/>
      <c r="SKX1" s="159"/>
      <c r="SKY1" s="159"/>
      <c r="SKZ1" s="159"/>
      <c r="SLA1" s="159"/>
      <c r="SLB1" s="159"/>
      <c r="SLC1" s="159"/>
      <c r="SLD1" s="159"/>
      <c r="SLE1" s="159"/>
      <c r="SLF1" s="159"/>
      <c r="SLG1" s="159"/>
      <c r="SLH1" s="159"/>
      <c r="SLI1" s="159"/>
      <c r="SLJ1" s="159"/>
      <c r="SLK1" s="159"/>
      <c r="SLL1" s="159"/>
      <c r="SLM1" s="159"/>
      <c r="SLN1" s="159"/>
      <c r="SLO1" s="159"/>
      <c r="SLP1" s="159"/>
      <c r="SLQ1" s="159"/>
      <c r="SLR1" s="159"/>
      <c r="SLS1" s="159"/>
      <c r="SLT1" s="159"/>
      <c r="SLU1" s="159"/>
      <c r="SLV1" s="159"/>
      <c r="SLW1" s="159"/>
      <c r="SLX1" s="159"/>
      <c r="SLY1" s="159"/>
      <c r="SLZ1" s="159"/>
      <c r="SMA1" s="159"/>
      <c r="SMB1" s="159"/>
      <c r="SMC1" s="159"/>
      <c r="SMD1" s="159"/>
      <c r="SME1" s="159"/>
      <c r="SMF1" s="159"/>
      <c r="SMG1" s="159"/>
      <c r="SMH1" s="159"/>
      <c r="SMI1" s="159"/>
      <c r="SMJ1" s="159"/>
      <c r="SMK1" s="159"/>
      <c r="SML1" s="159"/>
      <c r="SMM1" s="159"/>
      <c r="SMN1" s="159"/>
      <c r="SMO1" s="159"/>
      <c r="SMP1" s="159"/>
      <c r="SMQ1" s="159"/>
      <c r="SMR1" s="159"/>
      <c r="SMS1" s="159"/>
      <c r="SMT1" s="159"/>
      <c r="SMU1" s="159"/>
      <c r="SMV1" s="159"/>
      <c r="SMW1" s="159"/>
      <c r="SMX1" s="159"/>
      <c r="SMY1" s="159"/>
      <c r="SMZ1" s="159"/>
      <c r="SNA1" s="159"/>
      <c r="SNB1" s="159"/>
      <c r="SNC1" s="159"/>
      <c r="SND1" s="159"/>
      <c r="SNE1" s="159"/>
      <c r="SNF1" s="159"/>
      <c r="SNG1" s="159"/>
      <c r="SNH1" s="159"/>
      <c r="SNI1" s="159"/>
      <c r="SNJ1" s="159"/>
      <c r="SNK1" s="159"/>
      <c r="SNL1" s="159"/>
      <c r="SNM1" s="159"/>
      <c r="SNN1" s="159"/>
      <c r="SNO1" s="159"/>
      <c r="SNP1" s="159"/>
      <c r="SNQ1" s="159"/>
      <c r="SNR1" s="159"/>
      <c r="SNS1" s="159"/>
      <c r="SNT1" s="159"/>
      <c r="SNU1" s="159"/>
      <c r="SNV1" s="159"/>
      <c r="SNW1" s="159"/>
      <c r="SNX1" s="159"/>
      <c r="SNY1" s="159"/>
      <c r="SNZ1" s="159"/>
      <c r="SOA1" s="159"/>
      <c r="SOB1" s="159"/>
      <c r="SOC1" s="159"/>
      <c r="SOD1" s="159"/>
      <c r="SOE1" s="159"/>
      <c r="SOF1" s="159"/>
      <c r="SOG1" s="159"/>
      <c r="SOH1" s="159"/>
      <c r="SOI1" s="159"/>
      <c r="SOJ1" s="159"/>
      <c r="SOK1" s="159"/>
      <c r="SOL1" s="159"/>
      <c r="SOM1" s="159"/>
      <c r="SON1" s="159"/>
      <c r="SOO1" s="159"/>
      <c r="SOP1" s="159"/>
      <c r="SOQ1" s="159"/>
      <c r="SOR1" s="159"/>
      <c r="SOS1" s="159"/>
      <c r="SOT1" s="159"/>
      <c r="SOU1" s="159"/>
      <c r="SOV1" s="159"/>
      <c r="SOW1" s="159"/>
      <c r="SOX1" s="159"/>
      <c r="SOY1" s="159"/>
      <c r="SOZ1" s="159"/>
      <c r="SPA1" s="159"/>
      <c r="SPB1" s="159"/>
      <c r="SPC1" s="159"/>
      <c r="SPD1" s="159"/>
      <c r="SPE1" s="159"/>
      <c r="SPF1" s="159"/>
      <c r="SPG1" s="159"/>
      <c r="SPH1" s="159"/>
      <c r="SPI1" s="159"/>
      <c r="SPJ1" s="159"/>
      <c r="SPK1" s="159"/>
      <c r="SPL1" s="159"/>
      <c r="SPM1" s="159"/>
      <c r="SPN1" s="159"/>
      <c r="SPO1" s="159"/>
      <c r="SPP1" s="159"/>
      <c r="SPQ1" s="159"/>
      <c r="SPR1" s="159"/>
      <c r="SPS1" s="159"/>
      <c r="SPT1" s="159"/>
      <c r="SPU1" s="159"/>
      <c r="SPV1" s="159"/>
      <c r="SPW1" s="159"/>
      <c r="SPX1" s="159"/>
      <c r="SPY1" s="159"/>
      <c r="SPZ1" s="159"/>
      <c r="SQA1" s="159"/>
      <c r="SQB1" s="159"/>
      <c r="SQC1" s="159"/>
      <c r="SQD1" s="159"/>
      <c r="SQE1" s="159"/>
      <c r="SQF1" s="159"/>
      <c r="SQG1" s="159"/>
      <c r="SQH1" s="159"/>
      <c r="SQI1" s="159"/>
      <c r="SQJ1" s="159"/>
      <c r="SQK1" s="159"/>
      <c r="SQL1" s="159"/>
      <c r="SQM1" s="159"/>
      <c r="SQN1" s="159"/>
      <c r="SQO1" s="159"/>
      <c r="SQP1" s="159"/>
      <c r="SQQ1" s="159"/>
      <c r="SQR1" s="159"/>
      <c r="SQS1" s="159"/>
      <c r="SQT1" s="159"/>
      <c r="SQU1" s="159"/>
      <c r="SQV1" s="159"/>
      <c r="SQW1" s="159"/>
      <c r="SQX1" s="159"/>
      <c r="SQY1" s="159"/>
      <c r="SQZ1" s="159"/>
      <c r="SRA1" s="159"/>
      <c r="SRB1" s="159"/>
      <c r="SRC1" s="159"/>
      <c r="SRD1" s="159"/>
      <c r="SRE1" s="159"/>
      <c r="SRF1" s="159"/>
      <c r="SRG1" s="159"/>
      <c r="SRH1" s="159"/>
      <c r="SRI1" s="159"/>
      <c r="SRJ1" s="159"/>
      <c r="SRK1" s="159"/>
      <c r="SRL1" s="159"/>
      <c r="SRM1" s="159"/>
      <c r="SRN1" s="159"/>
      <c r="SRO1" s="159"/>
      <c r="SRP1" s="159"/>
      <c r="STA1" s="159"/>
      <c r="STO1" s="159"/>
      <c r="STP1" s="159"/>
      <c r="STQ1" s="159"/>
      <c r="STR1" s="159"/>
      <c r="STS1" s="159"/>
      <c r="STT1" s="159"/>
      <c r="STU1" s="159"/>
      <c r="STV1" s="159"/>
      <c r="STW1" s="159"/>
      <c r="STX1" s="159"/>
      <c r="STY1" s="159"/>
      <c r="STZ1" s="159"/>
      <c r="SUA1" s="159"/>
      <c r="SUB1" s="159"/>
      <c r="SUC1" s="159"/>
      <c r="SUD1" s="159"/>
      <c r="SUE1" s="159"/>
      <c r="SUF1" s="159"/>
      <c r="SUG1" s="159"/>
      <c r="SUH1" s="159"/>
      <c r="SUI1" s="159"/>
      <c r="SUJ1" s="159"/>
      <c r="SUK1" s="159"/>
      <c r="SUL1" s="159"/>
      <c r="SUM1" s="159"/>
      <c r="SUN1" s="159"/>
      <c r="SUO1" s="159"/>
      <c r="SUP1" s="159"/>
      <c r="SUQ1" s="159"/>
      <c r="SUR1" s="159"/>
      <c r="SUS1" s="159"/>
      <c r="SUT1" s="159"/>
      <c r="SUU1" s="159"/>
      <c r="SUV1" s="159"/>
      <c r="SUW1" s="159"/>
      <c r="SUX1" s="159"/>
      <c r="SUY1" s="159"/>
      <c r="SUZ1" s="159"/>
      <c r="SVA1" s="159"/>
      <c r="SVB1" s="159"/>
      <c r="SVC1" s="159"/>
      <c r="SVD1" s="159"/>
      <c r="SVE1" s="159"/>
      <c r="SVF1" s="159"/>
      <c r="SVG1" s="159"/>
      <c r="SVH1" s="159"/>
      <c r="SVI1" s="159"/>
      <c r="SVJ1" s="159"/>
      <c r="SVK1" s="159"/>
      <c r="SVL1" s="159"/>
      <c r="SVM1" s="159"/>
      <c r="SVN1" s="159"/>
      <c r="SVO1" s="159"/>
      <c r="SVP1" s="159"/>
      <c r="SVQ1" s="159"/>
      <c r="SVR1" s="159"/>
      <c r="SVS1" s="159"/>
      <c r="SVT1" s="159"/>
      <c r="SVU1" s="159"/>
      <c r="SVV1" s="159"/>
      <c r="SVW1" s="159"/>
      <c r="SVX1" s="159"/>
      <c r="SVY1" s="159"/>
      <c r="SVZ1" s="159"/>
      <c r="SWA1" s="159"/>
      <c r="SWB1" s="159"/>
      <c r="SWC1" s="159"/>
      <c r="SWD1" s="159"/>
      <c r="SWE1" s="159"/>
      <c r="SWF1" s="159"/>
      <c r="SWG1" s="159"/>
      <c r="SWH1" s="159"/>
      <c r="SWI1" s="159"/>
      <c r="SWJ1" s="159"/>
      <c r="SWK1" s="159"/>
      <c r="SWL1" s="159"/>
      <c r="SWM1" s="159"/>
      <c r="SWN1" s="159"/>
      <c r="SWO1" s="159"/>
      <c r="SWP1" s="159"/>
      <c r="SWQ1" s="159"/>
      <c r="SWR1" s="159"/>
      <c r="SWS1" s="159"/>
      <c r="SWT1" s="159"/>
      <c r="SWU1" s="159"/>
      <c r="SWV1" s="159"/>
      <c r="SWW1" s="159"/>
      <c r="SWX1" s="159"/>
      <c r="SWY1" s="159"/>
      <c r="SWZ1" s="159"/>
      <c r="SXA1" s="159"/>
      <c r="SXB1" s="159"/>
      <c r="SXC1" s="159"/>
      <c r="SXD1" s="159"/>
      <c r="SXE1" s="159"/>
      <c r="SXF1" s="159"/>
      <c r="SXG1" s="159"/>
      <c r="SXH1" s="159"/>
      <c r="SXI1" s="159"/>
      <c r="SXJ1" s="159"/>
      <c r="SXK1" s="159"/>
      <c r="SXL1" s="159"/>
      <c r="SXM1" s="159"/>
      <c r="SXN1" s="159"/>
      <c r="SXO1" s="159"/>
      <c r="SXP1" s="159"/>
      <c r="SXQ1" s="159"/>
      <c r="SXR1" s="159"/>
      <c r="SXS1" s="159"/>
      <c r="SXT1" s="159"/>
      <c r="SXU1" s="159"/>
      <c r="SXV1" s="159"/>
      <c r="SXW1" s="159"/>
      <c r="SXX1" s="159"/>
      <c r="SXY1" s="159"/>
      <c r="SXZ1" s="159"/>
      <c r="SYA1" s="159"/>
      <c r="SYB1" s="159"/>
      <c r="SYC1" s="159"/>
      <c r="SYD1" s="159"/>
      <c r="SYE1" s="159"/>
      <c r="SYF1" s="159"/>
      <c r="SYG1" s="159"/>
      <c r="SYH1" s="159"/>
      <c r="SYI1" s="159"/>
      <c r="SYJ1" s="159"/>
      <c r="SYK1" s="159"/>
      <c r="SYL1" s="159"/>
      <c r="SYM1" s="159"/>
      <c r="SYN1" s="159"/>
      <c r="SYO1" s="159"/>
      <c r="SYP1" s="159"/>
      <c r="SYQ1" s="159"/>
      <c r="SYR1" s="159"/>
      <c r="SYS1" s="159"/>
      <c r="SYT1" s="159"/>
      <c r="SYU1" s="159"/>
      <c r="SYV1" s="159"/>
      <c r="SYW1" s="159"/>
      <c r="SYX1" s="159"/>
      <c r="SYY1" s="159"/>
      <c r="SYZ1" s="159"/>
      <c r="SZA1" s="159"/>
      <c r="SZB1" s="159"/>
      <c r="SZC1" s="159"/>
      <c r="SZD1" s="159"/>
      <c r="SZE1" s="159"/>
      <c r="SZF1" s="159"/>
      <c r="SZG1" s="159"/>
      <c r="SZH1" s="159"/>
      <c r="SZI1" s="159"/>
      <c r="SZJ1" s="159"/>
      <c r="SZK1" s="159"/>
      <c r="SZL1" s="159"/>
      <c r="SZM1" s="159"/>
      <c r="SZN1" s="159"/>
      <c r="SZO1" s="159"/>
      <c r="SZP1" s="159"/>
      <c r="SZQ1" s="159"/>
      <c r="SZR1" s="159"/>
      <c r="SZS1" s="159"/>
      <c r="SZT1" s="159"/>
      <c r="SZU1" s="159"/>
      <c r="SZV1" s="159"/>
      <c r="SZW1" s="159"/>
      <c r="SZX1" s="159"/>
      <c r="SZY1" s="159"/>
      <c r="SZZ1" s="159"/>
      <c r="TAA1" s="159"/>
      <c r="TAB1" s="159"/>
      <c r="TAC1" s="159"/>
      <c r="TAD1" s="159"/>
      <c r="TAE1" s="159"/>
      <c r="TAF1" s="159"/>
      <c r="TAG1" s="159"/>
      <c r="TAH1" s="159"/>
      <c r="TAI1" s="159"/>
      <c r="TAJ1" s="159"/>
      <c r="TAK1" s="159"/>
      <c r="TAL1" s="159"/>
      <c r="TAM1" s="159"/>
      <c r="TAN1" s="159"/>
      <c r="TAO1" s="159"/>
      <c r="TAP1" s="159"/>
      <c r="TAQ1" s="159"/>
      <c r="TAR1" s="159"/>
      <c r="TAS1" s="159"/>
      <c r="TAT1" s="159"/>
      <c r="TAU1" s="159"/>
      <c r="TAV1" s="159"/>
      <c r="TAW1" s="159"/>
      <c r="TAX1" s="159"/>
      <c r="TAY1" s="159"/>
      <c r="TAZ1" s="159"/>
      <c r="TBA1" s="159"/>
      <c r="TBB1" s="159"/>
      <c r="TBC1" s="159"/>
      <c r="TBD1" s="159"/>
      <c r="TBE1" s="159"/>
      <c r="TBF1" s="159"/>
      <c r="TBG1" s="159"/>
      <c r="TBH1" s="159"/>
      <c r="TBI1" s="159"/>
      <c r="TBJ1" s="159"/>
      <c r="TBK1" s="159"/>
      <c r="TBL1" s="159"/>
      <c r="TCW1" s="159"/>
      <c r="TDK1" s="159"/>
      <c r="TDL1" s="159"/>
      <c r="TDM1" s="159"/>
      <c r="TDN1" s="159"/>
      <c r="TDO1" s="159"/>
      <c r="TDP1" s="159"/>
      <c r="TDQ1" s="159"/>
      <c r="TDR1" s="159"/>
      <c r="TDS1" s="159"/>
      <c r="TDT1" s="159"/>
      <c r="TDU1" s="159"/>
      <c r="TDV1" s="159"/>
      <c r="TDW1" s="159"/>
      <c r="TDX1" s="159"/>
      <c r="TDY1" s="159"/>
      <c r="TDZ1" s="159"/>
      <c r="TEA1" s="159"/>
      <c r="TEB1" s="159"/>
      <c r="TEC1" s="159"/>
      <c r="TED1" s="159"/>
      <c r="TEE1" s="159"/>
      <c r="TEF1" s="159"/>
      <c r="TEG1" s="159"/>
      <c r="TEH1" s="159"/>
      <c r="TEI1" s="159"/>
      <c r="TEJ1" s="159"/>
      <c r="TEK1" s="159"/>
      <c r="TEL1" s="159"/>
      <c r="TEM1" s="159"/>
      <c r="TEN1" s="159"/>
      <c r="TEO1" s="159"/>
      <c r="TEP1" s="159"/>
      <c r="TEQ1" s="159"/>
      <c r="TER1" s="159"/>
      <c r="TES1" s="159"/>
      <c r="TET1" s="159"/>
      <c r="TEU1" s="159"/>
      <c r="TEV1" s="159"/>
      <c r="TEW1" s="159"/>
      <c r="TEX1" s="159"/>
      <c r="TEY1" s="159"/>
      <c r="TEZ1" s="159"/>
      <c r="TFA1" s="159"/>
      <c r="TFB1" s="159"/>
      <c r="TFC1" s="159"/>
      <c r="TFD1" s="159"/>
      <c r="TFE1" s="159"/>
      <c r="TFF1" s="159"/>
      <c r="TFG1" s="159"/>
      <c r="TFH1" s="159"/>
      <c r="TFI1" s="159"/>
      <c r="TFJ1" s="159"/>
      <c r="TFK1" s="159"/>
      <c r="TFL1" s="159"/>
      <c r="TFM1" s="159"/>
      <c r="TFN1" s="159"/>
      <c r="TFO1" s="159"/>
      <c r="TFP1" s="159"/>
      <c r="TFQ1" s="159"/>
      <c r="TFR1" s="159"/>
      <c r="TFS1" s="159"/>
      <c r="TFT1" s="159"/>
      <c r="TFU1" s="159"/>
      <c r="TFV1" s="159"/>
      <c r="TFW1" s="159"/>
      <c r="TFX1" s="159"/>
      <c r="TFY1" s="159"/>
      <c r="TFZ1" s="159"/>
      <c r="TGA1" s="159"/>
      <c r="TGB1" s="159"/>
      <c r="TGC1" s="159"/>
      <c r="TGD1" s="159"/>
      <c r="TGE1" s="159"/>
      <c r="TGF1" s="159"/>
      <c r="TGG1" s="159"/>
      <c r="TGH1" s="159"/>
      <c r="TGI1" s="159"/>
      <c r="TGJ1" s="159"/>
      <c r="TGK1" s="159"/>
      <c r="TGL1" s="159"/>
      <c r="TGM1" s="159"/>
      <c r="TGN1" s="159"/>
      <c r="TGO1" s="159"/>
      <c r="TGP1" s="159"/>
      <c r="TGQ1" s="159"/>
      <c r="TGR1" s="159"/>
      <c r="TGS1" s="159"/>
      <c r="TGT1" s="159"/>
      <c r="TGU1" s="159"/>
      <c r="TGV1" s="159"/>
      <c r="TGW1" s="159"/>
      <c r="TGX1" s="159"/>
      <c r="TGY1" s="159"/>
      <c r="TGZ1" s="159"/>
      <c r="THA1" s="159"/>
      <c r="THB1" s="159"/>
      <c r="THC1" s="159"/>
      <c r="THD1" s="159"/>
      <c r="THE1" s="159"/>
      <c r="THF1" s="159"/>
      <c r="THG1" s="159"/>
      <c r="THH1" s="159"/>
      <c r="THI1" s="159"/>
      <c r="THJ1" s="159"/>
      <c r="THK1" s="159"/>
      <c r="THL1" s="159"/>
      <c r="THM1" s="159"/>
      <c r="THN1" s="159"/>
      <c r="THO1" s="159"/>
      <c r="THP1" s="159"/>
      <c r="THQ1" s="159"/>
      <c r="THR1" s="159"/>
      <c r="THS1" s="159"/>
      <c r="THT1" s="159"/>
      <c r="THU1" s="159"/>
      <c r="THV1" s="159"/>
      <c r="THW1" s="159"/>
      <c r="THX1" s="159"/>
      <c r="THY1" s="159"/>
      <c r="THZ1" s="159"/>
      <c r="TIA1" s="159"/>
      <c r="TIB1" s="159"/>
      <c r="TIC1" s="159"/>
      <c r="TID1" s="159"/>
      <c r="TIE1" s="159"/>
      <c r="TIF1" s="159"/>
      <c r="TIG1" s="159"/>
      <c r="TIH1" s="159"/>
      <c r="TII1" s="159"/>
      <c r="TIJ1" s="159"/>
      <c r="TIK1" s="159"/>
      <c r="TIL1" s="159"/>
      <c r="TIM1" s="159"/>
      <c r="TIN1" s="159"/>
      <c r="TIO1" s="159"/>
      <c r="TIP1" s="159"/>
      <c r="TIQ1" s="159"/>
      <c r="TIR1" s="159"/>
      <c r="TIS1" s="159"/>
      <c r="TIT1" s="159"/>
      <c r="TIU1" s="159"/>
      <c r="TIV1" s="159"/>
      <c r="TIW1" s="159"/>
      <c r="TIX1" s="159"/>
      <c r="TIY1" s="159"/>
      <c r="TIZ1" s="159"/>
      <c r="TJA1" s="159"/>
      <c r="TJB1" s="159"/>
      <c r="TJC1" s="159"/>
      <c r="TJD1" s="159"/>
      <c r="TJE1" s="159"/>
      <c r="TJF1" s="159"/>
      <c r="TJG1" s="159"/>
      <c r="TJH1" s="159"/>
      <c r="TJI1" s="159"/>
      <c r="TJJ1" s="159"/>
      <c r="TJK1" s="159"/>
      <c r="TJL1" s="159"/>
      <c r="TJM1" s="159"/>
      <c r="TJN1" s="159"/>
      <c r="TJO1" s="159"/>
      <c r="TJP1" s="159"/>
      <c r="TJQ1" s="159"/>
      <c r="TJR1" s="159"/>
      <c r="TJS1" s="159"/>
      <c r="TJT1" s="159"/>
      <c r="TJU1" s="159"/>
      <c r="TJV1" s="159"/>
      <c r="TJW1" s="159"/>
      <c r="TJX1" s="159"/>
      <c r="TJY1" s="159"/>
      <c r="TJZ1" s="159"/>
      <c r="TKA1" s="159"/>
      <c r="TKB1" s="159"/>
      <c r="TKC1" s="159"/>
      <c r="TKD1" s="159"/>
      <c r="TKE1" s="159"/>
      <c r="TKF1" s="159"/>
      <c r="TKG1" s="159"/>
      <c r="TKH1" s="159"/>
      <c r="TKI1" s="159"/>
      <c r="TKJ1" s="159"/>
      <c r="TKK1" s="159"/>
      <c r="TKL1" s="159"/>
      <c r="TKM1" s="159"/>
      <c r="TKN1" s="159"/>
      <c r="TKO1" s="159"/>
      <c r="TKP1" s="159"/>
      <c r="TKQ1" s="159"/>
      <c r="TKR1" s="159"/>
      <c r="TKS1" s="159"/>
      <c r="TKT1" s="159"/>
      <c r="TKU1" s="159"/>
      <c r="TKV1" s="159"/>
      <c r="TKW1" s="159"/>
      <c r="TKX1" s="159"/>
      <c r="TKY1" s="159"/>
      <c r="TKZ1" s="159"/>
      <c r="TLA1" s="159"/>
      <c r="TLB1" s="159"/>
      <c r="TLC1" s="159"/>
      <c r="TLD1" s="159"/>
      <c r="TLE1" s="159"/>
      <c r="TLF1" s="159"/>
      <c r="TLG1" s="159"/>
      <c r="TLH1" s="159"/>
      <c r="TMS1" s="159"/>
      <c r="TNG1" s="159"/>
      <c r="TNH1" s="159"/>
      <c r="TNI1" s="159"/>
      <c r="TNJ1" s="159"/>
      <c r="TNK1" s="159"/>
      <c r="TNL1" s="159"/>
      <c r="TNM1" s="159"/>
      <c r="TNN1" s="159"/>
      <c r="TNO1" s="159"/>
      <c r="TNP1" s="159"/>
      <c r="TNQ1" s="159"/>
      <c r="TNR1" s="159"/>
      <c r="TNS1" s="159"/>
      <c r="TNT1" s="159"/>
      <c r="TNU1" s="159"/>
      <c r="TNV1" s="159"/>
      <c r="TNW1" s="159"/>
      <c r="TNX1" s="159"/>
      <c r="TNY1" s="159"/>
      <c r="TNZ1" s="159"/>
      <c r="TOA1" s="159"/>
      <c r="TOB1" s="159"/>
      <c r="TOC1" s="159"/>
      <c r="TOD1" s="159"/>
      <c r="TOE1" s="159"/>
      <c r="TOF1" s="159"/>
      <c r="TOG1" s="159"/>
      <c r="TOH1" s="159"/>
      <c r="TOI1" s="159"/>
      <c r="TOJ1" s="159"/>
      <c r="TOK1" s="159"/>
      <c r="TOL1" s="159"/>
      <c r="TOM1" s="159"/>
      <c r="TON1" s="159"/>
      <c r="TOO1" s="159"/>
      <c r="TOP1" s="159"/>
      <c r="TOQ1" s="159"/>
      <c r="TOR1" s="159"/>
      <c r="TOS1" s="159"/>
      <c r="TOT1" s="159"/>
      <c r="TOU1" s="159"/>
      <c r="TOV1" s="159"/>
      <c r="TOW1" s="159"/>
      <c r="TOX1" s="159"/>
      <c r="TOY1" s="159"/>
      <c r="TOZ1" s="159"/>
      <c r="TPA1" s="159"/>
      <c r="TPB1" s="159"/>
      <c r="TPC1" s="159"/>
      <c r="TPD1" s="159"/>
      <c r="TPE1" s="159"/>
      <c r="TPF1" s="159"/>
      <c r="TPG1" s="159"/>
      <c r="TPH1" s="159"/>
      <c r="TPI1" s="159"/>
      <c r="TPJ1" s="159"/>
      <c r="TPK1" s="159"/>
      <c r="TPL1" s="159"/>
      <c r="TPM1" s="159"/>
      <c r="TPN1" s="159"/>
      <c r="TPO1" s="159"/>
      <c r="TPP1" s="159"/>
      <c r="TPQ1" s="159"/>
      <c r="TPR1" s="159"/>
      <c r="TPS1" s="159"/>
      <c r="TPT1" s="159"/>
      <c r="TPU1" s="159"/>
      <c r="TPV1" s="159"/>
      <c r="TPW1" s="159"/>
      <c r="TPX1" s="159"/>
      <c r="TPY1" s="159"/>
      <c r="TPZ1" s="159"/>
      <c r="TQA1" s="159"/>
      <c r="TQB1" s="159"/>
      <c r="TQC1" s="159"/>
      <c r="TQD1" s="159"/>
      <c r="TQE1" s="159"/>
      <c r="TQF1" s="159"/>
      <c r="TQG1" s="159"/>
      <c r="TQH1" s="159"/>
      <c r="TQI1" s="159"/>
      <c r="TQJ1" s="159"/>
      <c r="TQK1" s="159"/>
      <c r="TQL1" s="159"/>
      <c r="TQM1" s="159"/>
      <c r="TQN1" s="159"/>
      <c r="TQO1" s="159"/>
      <c r="TQP1" s="159"/>
      <c r="TQQ1" s="159"/>
      <c r="TQR1" s="159"/>
      <c r="TQS1" s="159"/>
      <c r="TQT1" s="159"/>
      <c r="TQU1" s="159"/>
      <c r="TQV1" s="159"/>
      <c r="TQW1" s="159"/>
      <c r="TQX1" s="159"/>
      <c r="TQY1" s="159"/>
      <c r="TQZ1" s="159"/>
      <c r="TRA1" s="159"/>
      <c r="TRB1" s="159"/>
      <c r="TRC1" s="159"/>
      <c r="TRD1" s="159"/>
      <c r="TRE1" s="159"/>
      <c r="TRF1" s="159"/>
      <c r="TRG1" s="159"/>
      <c r="TRH1" s="159"/>
      <c r="TRI1" s="159"/>
      <c r="TRJ1" s="159"/>
      <c r="TRK1" s="159"/>
      <c r="TRL1" s="159"/>
      <c r="TRM1" s="159"/>
      <c r="TRN1" s="159"/>
      <c r="TRO1" s="159"/>
      <c r="TRP1" s="159"/>
      <c r="TRQ1" s="159"/>
      <c r="TRR1" s="159"/>
      <c r="TRS1" s="159"/>
      <c r="TRT1" s="159"/>
      <c r="TRU1" s="159"/>
      <c r="TRV1" s="159"/>
      <c r="TRW1" s="159"/>
      <c r="TRX1" s="159"/>
      <c r="TRY1" s="159"/>
      <c r="TRZ1" s="159"/>
      <c r="TSA1" s="159"/>
      <c r="TSB1" s="159"/>
      <c r="TSC1" s="159"/>
      <c r="TSD1" s="159"/>
      <c r="TSE1" s="159"/>
      <c r="TSF1" s="159"/>
      <c r="TSG1" s="159"/>
      <c r="TSH1" s="159"/>
      <c r="TSI1" s="159"/>
      <c r="TSJ1" s="159"/>
      <c r="TSK1" s="159"/>
      <c r="TSL1" s="159"/>
      <c r="TSM1" s="159"/>
      <c r="TSN1" s="159"/>
      <c r="TSO1" s="159"/>
      <c r="TSP1" s="159"/>
      <c r="TSQ1" s="159"/>
      <c r="TSR1" s="159"/>
      <c r="TSS1" s="159"/>
      <c r="TST1" s="159"/>
      <c r="TSU1" s="159"/>
      <c r="TSV1" s="159"/>
      <c r="TSW1" s="159"/>
      <c r="TSX1" s="159"/>
      <c r="TSY1" s="159"/>
      <c r="TSZ1" s="159"/>
      <c r="TTA1" s="159"/>
      <c r="TTB1" s="159"/>
      <c r="TTC1" s="159"/>
      <c r="TTD1" s="159"/>
      <c r="TTE1" s="159"/>
      <c r="TTF1" s="159"/>
      <c r="TTG1" s="159"/>
      <c r="TTH1" s="159"/>
      <c r="TTI1" s="159"/>
      <c r="TTJ1" s="159"/>
      <c r="TTK1" s="159"/>
      <c r="TTL1" s="159"/>
      <c r="TTM1" s="159"/>
      <c r="TTN1" s="159"/>
      <c r="TTO1" s="159"/>
      <c r="TTP1" s="159"/>
      <c r="TTQ1" s="159"/>
      <c r="TTR1" s="159"/>
      <c r="TTS1" s="159"/>
      <c r="TTT1" s="159"/>
      <c r="TTU1" s="159"/>
      <c r="TTV1" s="159"/>
      <c r="TTW1" s="159"/>
      <c r="TTX1" s="159"/>
      <c r="TTY1" s="159"/>
      <c r="TTZ1" s="159"/>
      <c r="TUA1" s="159"/>
      <c r="TUB1" s="159"/>
      <c r="TUC1" s="159"/>
      <c r="TUD1" s="159"/>
      <c r="TUE1" s="159"/>
      <c r="TUF1" s="159"/>
      <c r="TUG1" s="159"/>
      <c r="TUH1" s="159"/>
      <c r="TUI1" s="159"/>
      <c r="TUJ1" s="159"/>
      <c r="TUK1" s="159"/>
      <c r="TUL1" s="159"/>
      <c r="TUM1" s="159"/>
      <c r="TUN1" s="159"/>
      <c r="TUO1" s="159"/>
      <c r="TUP1" s="159"/>
      <c r="TUQ1" s="159"/>
      <c r="TUR1" s="159"/>
      <c r="TUS1" s="159"/>
      <c r="TUT1" s="159"/>
      <c r="TUU1" s="159"/>
      <c r="TUV1" s="159"/>
      <c r="TUW1" s="159"/>
      <c r="TUX1" s="159"/>
      <c r="TUY1" s="159"/>
      <c r="TUZ1" s="159"/>
      <c r="TVA1" s="159"/>
      <c r="TVB1" s="159"/>
      <c r="TVC1" s="159"/>
      <c r="TVD1" s="159"/>
      <c r="TWO1" s="159"/>
      <c r="TXC1" s="159"/>
      <c r="TXD1" s="159"/>
      <c r="TXE1" s="159"/>
      <c r="TXF1" s="159"/>
      <c r="TXG1" s="159"/>
      <c r="TXH1" s="159"/>
      <c r="TXI1" s="159"/>
      <c r="TXJ1" s="159"/>
      <c r="TXK1" s="159"/>
      <c r="TXL1" s="159"/>
      <c r="TXM1" s="159"/>
      <c r="TXN1" s="159"/>
      <c r="TXO1" s="159"/>
      <c r="TXP1" s="159"/>
      <c r="TXQ1" s="159"/>
      <c r="TXR1" s="159"/>
      <c r="TXS1" s="159"/>
      <c r="TXT1" s="159"/>
      <c r="TXU1" s="159"/>
      <c r="TXV1" s="159"/>
      <c r="TXW1" s="159"/>
      <c r="TXX1" s="159"/>
      <c r="TXY1" s="159"/>
      <c r="TXZ1" s="159"/>
      <c r="TYA1" s="159"/>
      <c r="TYB1" s="159"/>
      <c r="TYC1" s="159"/>
      <c r="TYD1" s="159"/>
      <c r="TYE1" s="159"/>
      <c r="TYF1" s="159"/>
      <c r="TYG1" s="159"/>
      <c r="TYH1" s="159"/>
      <c r="TYI1" s="159"/>
      <c r="TYJ1" s="159"/>
      <c r="TYK1" s="159"/>
      <c r="TYL1" s="159"/>
      <c r="TYM1" s="159"/>
      <c r="TYN1" s="159"/>
      <c r="TYO1" s="159"/>
      <c r="TYP1" s="159"/>
      <c r="TYQ1" s="159"/>
      <c r="TYR1" s="159"/>
      <c r="TYS1" s="159"/>
      <c r="TYT1" s="159"/>
      <c r="TYU1" s="159"/>
      <c r="TYV1" s="159"/>
      <c r="TYW1" s="159"/>
      <c r="TYX1" s="159"/>
      <c r="TYY1" s="159"/>
      <c r="TYZ1" s="159"/>
      <c r="TZA1" s="159"/>
      <c r="TZB1" s="159"/>
      <c r="TZC1" s="159"/>
      <c r="TZD1" s="159"/>
      <c r="TZE1" s="159"/>
      <c r="TZF1" s="159"/>
      <c r="TZG1" s="159"/>
      <c r="TZH1" s="159"/>
      <c r="TZI1" s="159"/>
      <c r="TZJ1" s="159"/>
      <c r="TZK1" s="159"/>
      <c r="TZL1" s="159"/>
      <c r="TZM1" s="159"/>
      <c r="TZN1" s="159"/>
      <c r="TZO1" s="159"/>
      <c r="TZP1" s="159"/>
      <c r="TZQ1" s="159"/>
      <c r="TZR1" s="159"/>
      <c r="TZS1" s="159"/>
      <c r="TZT1" s="159"/>
      <c r="TZU1" s="159"/>
      <c r="TZV1" s="159"/>
      <c r="TZW1" s="159"/>
      <c r="TZX1" s="159"/>
      <c r="TZY1" s="159"/>
      <c r="TZZ1" s="159"/>
      <c r="UAA1" s="159"/>
      <c r="UAB1" s="159"/>
      <c r="UAC1" s="159"/>
      <c r="UAD1" s="159"/>
      <c r="UAE1" s="159"/>
      <c r="UAF1" s="159"/>
      <c r="UAG1" s="159"/>
      <c r="UAH1" s="159"/>
      <c r="UAI1" s="159"/>
      <c r="UAJ1" s="159"/>
      <c r="UAK1" s="159"/>
      <c r="UAL1" s="159"/>
      <c r="UAM1" s="159"/>
      <c r="UAN1" s="159"/>
      <c r="UAO1" s="159"/>
      <c r="UAP1" s="159"/>
      <c r="UAQ1" s="159"/>
      <c r="UAR1" s="159"/>
      <c r="UAS1" s="159"/>
      <c r="UAT1" s="159"/>
      <c r="UAU1" s="159"/>
      <c r="UAV1" s="159"/>
      <c r="UAW1" s="159"/>
      <c r="UAX1" s="159"/>
      <c r="UAY1" s="159"/>
      <c r="UAZ1" s="159"/>
      <c r="UBA1" s="159"/>
      <c r="UBB1" s="159"/>
      <c r="UBC1" s="159"/>
      <c r="UBD1" s="159"/>
      <c r="UBE1" s="159"/>
      <c r="UBF1" s="159"/>
      <c r="UBG1" s="159"/>
      <c r="UBH1" s="159"/>
      <c r="UBI1" s="159"/>
      <c r="UBJ1" s="159"/>
      <c r="UBK1" s="159"/>
      <c r="UBL1" s="159"/>
      <c r="UBM1" s="159"/>
      <c r="UBN1" s="159"/>
      <c r="UBO1" s="159"/>
      <c r="UBP1" s="159"/>
      <c r="UBQ1" s="159"/>
      <c r="UBR1" s="159"/>
      <c r="UBS1" s="159"/>
      <c r="UBT1" s="159"/>
      <c r="UBU1" s="159"/>
      <c r="UBV1" s="159"/>
      <c r="UBW1" s="159"/>
      <c r="UBX1" s="159"/>
      <c r="UBY1" s="159"/>
      <c r="UBZ1" s="159"/>
      <c r="UCA1" s="159"/>
      <c r="UCB1" s="159"/>
      <c r="UCC1" s="159"/>
      <c r="UCD1" s="159"/>
      <c r="UCE1" s="159"/>
      <c r="UCF1" s="159"/>
      <c r="UCG1" s="159"/>
      <c r="UCH1" s="159"/>
      <c r="UCI1" s="159"/>
      <c r="UCJ1" s="159"/>
      <c r="UCK1" s="159"/>
      <c r="UCL1" s="159"/>
      <c r="UCM1" s="159"/>
      <c r="UCN1" s="159"/>
      <c r="UCO1" s="159"/>
      <c r="UCP1" s="159"/>
      <c r="UCQ1" s="159"/>
      <c r="UCR1" s="159"/>
      <c r="UCS1" s="159"/>
      <c r="UCT1" s="159"/>
      <c r="UCU1" s="159"/>
      <c r="UCV1" s="159"/>
      <c r="UCW1" s="159"/>
      <c r="UCX1" s="159"/>
      <c r="UCY1" s="159"/>
      <c r="UCZ1" s="159"/>
      <c r="UDA1" s="159"/>
      <c r="UDB1" s="159"/>
      <c r="UDC1" s="159"/>
      <c r="UDD1" s="159"/>
      <c r="UDE1" s="159"/>
      <c r="UDF1" s="159"/>
      <c r="UDG1" s="159"/>
      <c r="UDH1" s="159"/>
      <c r="UDI1" s="159"/>
      <c r="UDJ1" s="159"/>
      <c r="UDK1" s="159"/>
      <c r="UDL1" s="159"/>
      <c r="UDM1" s="159"/>
      <c r="UDN1" s="159"/>
      <c r="UDO1" s="159"/>
      <c r="UDP1" s="159"/>
      <c r="UDQ1" s="159"/>
      <c r="UDR1" s="159"/>
      <c r="UDS1" s="159"/>
      <c r="UDT1" s="159"/>
      <c r="UDU1" s="159"/>
      <c r="UDV1" s="159"/>
      <c r="UDW1" s="159"/>
      <c r="UDX1" s="159"/>
      <c r="UDY1" s="159"/>
      <c r="UDZ1" s="159"/>
      <c r="UEA1" s="159"/>
      <c r="UEB1" s="159"/>
      <c r="UEC1" s="159"/>
      <c r="UED1" s="159"/>
      <c r="UEE1" s="159"/>
      <c r="UEF1" s="159"/>
      <c r="UEG1" s="159"/>
      <c r="UEH1" s="159"/>
      <c r="UEI1" s="159"/>
      <c r="UEJ1" s="159"/>
      <c r="UEK1" s="159"/>
      <c r="UEL1" s="159"/>
      <c r="UEM1" s="159"/>
      <c r="UEN1" s="159"/>
      <c r="UEO1" s="159"/>
      <c r="UEP1" s="159"/>
      <c r="UEQ1" s="159"/>
      <c r="UER1" s="159"/>
      <c r="UES1" s="159"/>
      <c r="UET1" s="159"/>
      <c r="UEU1" s="159"/>
      <c r="UEV1" s="159"/>
      <c r="UEW1" s="159"/>
      <c r="UEX1" s="159"/>
      <c r="UEY1" s="159"/>
      <c r="UEZ1" s="159"/>
      <c r="UGK1" s="159"/>
      <c r="UGY1" s="159"/>
      <c r="UGZ1" s="159"/>
      <c r="UHA1" s="159"/>
      <c r="UHB1" s="159"/>
      <c r="UHC1" s="159"/>
      <c r="UHD1" s="159"/>
      <c r="UHE1" s="159"/>
      <c r="UHF1" s="159"/>
      <c r="UHG1" s="159"/>
      <c r="UHH1" s="159"/>
      <c r="UHI1" s="159"/>
      <c r="UHJ1" s="159"/>
      <c r="UHK1" s="159"/>
      <c r="UHL1" s="159"/>
      <c r="UHM1" s="159"/>
      <c r="UHN1" s="159"/>
      <c r="UHO1" s="159"/>
      <c r="UHP1" s="159"/>
      <c r="UHQ1" s="159"/>
      <c r="UHR1" s="159"/>
      <c r="UHS1" s="159"/>
      <c r="UHT1" s="159"/>
      <c r="UHU1" s="159"/>
      <c r="UHV1" s="159"/>
      <c r="UHW1" s="159"/>
      <c r="UHX1" s="159"/>
      <c r="UHY1" s="159"/>
      <c r="UHZ1" s="159"/>
      <c r="UIA1" s="159"/>
      <c r="UIB1" s="159"/>
      <c r="UIC1" s="159"/>
      <c r="UID1" s="159"/>
      <c r="UIE1" s="159"/>
      <c r="UIF1" s="159"/>
      <c r="UIG1" s="159"/>
      <c r="UIH1" s="159"/>
      <c r="UII1" s="159"/>
      <c r="UIJ1" s="159"/>
      <c r="UIK1" s="159"/>
      <c r="UIL1" s="159"/>
      <c r="UIM1" s="159"/>
      <c r="UIN1" s="159"/>
      <c r="UIO1" s="159"/>
      <c r="UIP1" s="159"/>
      <c r="UIQ1" s="159"/>
      <c r="UIR1" s="159"/>
      <c r="UIS1" s="159"/>
      <c r="UIT1" s="159"/>
      <c r="UIU1" s="159"/>
      <c r="UIV1" s="159"/>
      <c r="UIW1" s="159"/>
      <c r="UIX1" s="159"/>
      <c r="UIY1" s="159"/>
      <c r="UIZ1" s="159"/>
      <c r="UJA1" s="159"/>
      <c r="UJB1" s="159"/>
      <c r="UJC1" s="159"/>
      <c r="UJD1" s="159"/>
      <c r="UJE1" s="159"/>
      <c r="UJF1" s="159"/>
      <c r="UJG1" s="159"/>
      <c r="UJH1" s="159"/>
      <c r="UJI1" s="159"/>
      <c r="UJJ1" s="159"/>
      <c r="UJK1" s="159"/>
      <c r="UJL1" s="159"/>
      <c r="UJM1" s="159"/>
      <c r="UJN1" s="159"/>
      <c r="UJO1" s="159"/>
      <c r="UJP1" s="159"/>
      <c r="UJQ1" s="159"/>
      <c r="UJR1" s="159"/>
      <c r="UJS1" s="159"/>
      <c r="UJT1" s="159"/>
      <c r="UJU1" s="159"/>
      <c r="UJV1" s="159"/>
      <c r="UJW1" s="159"/>
      <c r="UJX1" s="159"/>
      <c r="UJY1" s="159"/>
      <c r="UJZ1" s="159"/>
      <c r="UKA1" s="159"/>
      <c r="UKB1" s="159"/>
      <c r="UKC1" s="159"/>
      <c r="UKD1" s="159"/>
      <c r="UKE1" s="159"/>
      <c r="UKF1" s="159"/>
      <c r="UKG1" s="159"/>
      <c r="UKH1" s="159"/>
      <c r="UKI1" s="159"/>
      <c r="UKJ1" s="159"/>
      <c r="UKK1" s="159"/>
      <c r="UKL1" s="159"/>
      <c r="UKM1" s="159"/>
      <c r="UKN1" s="159"/>
      <c r="UKO1" s="159"/>
      <c r="UKP1" s="159"/>
      <c r="UKQ1" s="159"/>
      <c r="UKR1" s="159"/>
      <c r="UKS1" s="159"/>
      <c r="UKT1" s="159"/>
      <c r="UKU1" s="159"/>
      <c r="UKV1" s="159"/>
      <c r="UKW1" s="159"/>
      <c r="UKX1" s="159"/>
      <c r="UKY1" s="159"/>
      <c r="UKZ1" s="159"/>
      <c r="ULA1" s="159"/>
      <c r="ULB1" s="159"/>
      <c r="ULC1" s="159"/>
      <c r="ULD1" s="159"/>
      <c r="ULE1" s="159"/>
      <c r="ULF1" s="159"/>
      <c r="ULG1" s="159"/>
      <c r="ULH1" s="159"/>
      <c r="ULI1" s="159"/>
      <c r="ULJ1" s="159"/>
      <c r="ULK1" s="159"/>
      <c r="ULL1" s="159"/>
      <c r="ULM1" s="159"/>
      <c r="ULN1" s="159"/>
      <c r="ULO1" s="159"/>
      <c r="ULP1" s="159"/>
      <c r="ULQ1" s="159"/>
      <c r="ULR1" s="159"/>
      <c r="ULS1" s="159"/>
      <c r="ULT1" s="159"/>
      <c r="ULU1" s="159"/>
      <c r="ULV1" s="159"/>
      <c r="ULW1" s="159"/>
      <c r="ULX1" s="159"/>
      <c r="ULY1" s="159"/>
      <c r="ULZ1" s="159"/>
      <c r="UMA1" s="159"/>
      <c r="UMB1" s="159"/>
      <c r="UMC1" s="159"/>
      <c r="UMD1" s="159"/>
      <c r="UME1" s="159"/>
      <c r="UMF1" s="159"/>
      <c r="UMG1" s="159"/>
      <c r="UMH1" s="159"/>
      <c r="UMI1" s="159"/>
      <c r="UMJ1" s="159"/>
      <c r="UMK1" s="159"/>
      <c r="UML1" s="159"/>
      <c r="UMM1" s="159"/>
      <c r="UMN1" s="159"/>
      <c r="UMO1" s="159"/>
      <c r="UMP1" s="159"/>
      <c r="UMQ1" s="159"/>
      <c r="UMR1" s="159"/>
      <c r="UMS1" s="159"/>
      <c r="UMT1" s="159"/>
      <c r="UMU1" s="159"/>
      <c r="UMV1" s="159"/>
      <c r="UMW1" s="159"/>
      <c r="UMX1" s="159"/>
      <c r="UMY1" s="159"/>
      <c r="UMZ1" s="159"/>
      <c r="UNA1" s="159"/>
      <c r="UNB1" s="159"/>
      <c r="UNC1" s="159"/>
      <c r="UND1" s="159"/>
      <c r="UNE1" s="159"/>
      <c r="UNF1" s="159"/>
      <c r="UNG1" s="159"/>
      <c r="UNH1" s="159"/>
      <c r="UNI1" s="159"/>
      <c r="UNJ1" s="159"/>
      <c r="UNK1" s="159"/>
      <c r="UNL1" s="159"/>
      <c r="UNM1" s="159"/>
      <c r="UNN1" s="159"/>
      <c r="UNO1" s="159"/>
      <c r="UNP1" s="159"/>
      <c r="UNQ1" s="159"/>
      <c r="UNR1" s="159"/>
      <c r="UNS1" s="159"/>
      <c r="UNT1" s="159"/>
      <c r="UNU1" s="159"/>
      <c r="UNV1" s="159"/>
      <c r="UNW1" s="159"/>
      <c r="UNX1" s="159"/>
      <c r="UNY1" s="159"/>
      <c r="UNZ1" s="159"/>
      <c r="UOA1" s="159"/>
      <c r="UOB1" s="159"/>
      <c r="UOC1" s="159"/>
      <c r="UOD1" s="159"/>
      <c r="UOE1" s="159"/>
      <c r="UOF1" s="159"/>
      <c r="UOG1" s="159"/>
      <c r="UOH1" s="159"/>
      <c r="UOI1" s="159"/>
      <c r="UOJ1" s="159"/>
      <c r="UOK1" s="159"/>
      <c r="UOL1" s="159"/>
      <c r="UOM1" s="159"/>
      <c r="UON1" s="159"/>
      <c r="UOO1" s="159"/>
      <c r="UOP1" s="159"/>
      <c r="UOQ1" s="159"/>
      <c r="UOR1" s="159"/>
      <c r="UOS1" s="159"/>
      <c r="UOT1" s="159"/>
      <c r="UOU1" s="159"/>
      <c r="UOV1" s="159"/>
      <c r="UQG1" s="159"/>
      <c r="UQU1" s="159"/>
      <c r="UQV1" s="159"/>
      <c r="UQW1" s="159"/>
      <c r="UQX1" s="159"/>
      <c r="UQY1" s="159"/>
      <c r="UQZ1" s="159"/>
      <c r="URA1" s="159"/>
      <c r="URB1" s="159"/>
      <c r="URC1" s="159"/>
      <c r="URD1" s="159"/>
      <c r="URE1" s="159"/>
      <c r="URF1" s="159"/>
      <c r="URG1" s="159"/>
      <c r="URH1" s="159"/>
      <c r="URI1" s="159"/>
      <c r="URJ1" s="159"/>
      <c r="URK1" s="159"/>
      <c r="URL1" s="159"/>
      <c r="URM1" s="159"/>
      <c r="URN1" s="159"/>
      <c r="URO1" s="159"/>
      <c r="URP1" s="159"/>
      <c r="URQ1" s="159"/>
      <c r="URR1" s="159"/>
      <c r="URS1" s="159"/>
      <c r="URT1" s="159"/>
      <c r="URU1" s="159"/>
      <c r="URV1" s="159"/>
      <c r="URW1" s="159"/>
      <c r="URX1" s="159"/>
      <c r="URY1" s="159"/>
      <c r="URZ1" s="159"/>
      <c r="USA1" s="159"/>
      <c r="USB1" s="159"/>
      <c r="USC1" s="159"/>
      <c r="USD1" s="159"/>
      <c r="USE1" s="159"/>
      <c r="USF1" s="159"/>
      <c r="USG1" s="159"/>
      <c r="USH1" s="159"/>
      <c r="USI1" s="159"/>
      <c r="USJ1" s="159"/>
      <c r="USK1" s="159"/>
      <c r="USL1" s="159"/>
      <c r="USM1" s="159"/>
      <c r="USN1" s="159"/>
      <c r="USO1" s="159"/>
      <c r="USP1" s="159"/>
      <c r="USQ1" s="159"/>
      <c r="USR1" s="159"/>
      <c r="USS1" s="159"/>
      <c r="UST1" s="159"/>
      <c r="USU1" s="159"/>
      <c r="USV1" s="159"/>
      <c r="USW1" s="159"/>
      <c r="USX1" s="159"/>
      <c r="USY1" s="159"/>
      <c r="USZ1" s="159"/>
      <c r="UTA1" s="159"/>
      <c r="UTB1" s="159"/>
      <c r="UTC1" s="159"/>
      <c r="UTD1" s="159"/>
      <c r="UTE1" s="159"/>
      <c r="UTF1" s="159"/>
      <c r="UTG1" s="159"/>
      <c r="UTH1" s="159"/>
      <c r="UTI1" s="159"/>
      <c r="UTJ1" s="159"/>
      <c r="UTK1" s="159"/>
      <c r="UTL1" s="159"/>
      <c r="UTM1" s="159"/>
      <c r="UTN1" s="159"/>
      <c r="UTO1" s="159"/>
      <c r="UTP1" s="159"/>
      <c r="UTQ1" s="159"/>
      <c r="UTR1" s="159"/>
      <c r="UTS1" s="159"/>
      <c r="UTT1" s="159"/>
      <c r="UTU1" s="159"/>
      <c r="UTV1" s="159"/>
      <c r="UTW1" s="159"/>
      <c r="UTX1" s="159"/>
      <c r="UTY1" s="159"/>
      <c r="UTZ1" s="159"/>
      <c r="UUA1" s="159"/>
      <c r="UUB1" s="159"/>
      <c r="UUC1" s="159"/>
      <c r="UUD1" s="159"/>
      <c r="UUE1" s="159"/>
      <c r="UUF1" s="159"/>
      <c r="UUG1" s="159"/>
      <c r="UUH1" s="159"/>
      <c r="UUI1" s="159"/>
      <c r="UUJ1" s="159"/>
      <c r="UUK1" s="159"/>
      <c r="UUL1" s="159"/>
      <c r="UUM1" s="159"/>
      <c r="UUN1" s="159"/>
      <c r="UUO1" s="159"/>
      <c r="UUP1" s="159"/>
      <c r="UUQ1" s="159"/>
      <c r="UUR1" s="159"/>
      <c r="UUS1" s="159"/>
      <c r="UUT1" s="159"/>
      <c r="UUU1" s="159"/>
      <c r="UUV1" s="159"/>
      <c r="UUW1" s="159"/>
      <c r="UUX1" s="159"/>
      <c r="UUY1" s="159"/>
      <c r="UUZ1" s="159"/>
      <c r="UVA1" s="159"/>
      <c r="UVB1" s="159"/>
      <c r="UVC1" s="159"/>
      <c r="UVD1" s="159"/>
      <c r="UVE1" s="159"/>
      <c r="UVF1" s="159"/>
      <c r="UVG1" s="159"/>
      <c r="UVH1" s="159"/>
      <c r="UVI1" s="159"/>
      <c r="UVJ1" s="159"/>
      <c r="UVK1" s="159"/>
      <c r="UVL1" s="159"/>
      <c r="UVM1" s="159"/>
      <c r="UVN1" s="159"/>
      <c r="UVO1" s="159"/>
      <c r="UVP1" s="159"/>
      <c r="UVQ1" s="159"/>
      <c r="UVR1" s="159"/>
      <c r="UVS1" s="159"/>
      <c r="UVT1" s="159"/>
      <c r="UVU1" s="159"/>
      <c r="UVV1" s="159"/>
      <c r="UVW1" s="159"/>
      <c r="UVX1" s="159"/>
      <c r="UVY1" s="159"/>
      <c r="UVZ1" s="159"/>
      <c r="UWA1" s="159"/>
      <c r="UWB1" s="159"/>
      <c r="UWC1" s="159"/>
      <c r="UWD1" s="159"/>
      <c r="UWE1" s="159"/>
      <c r="UWF1" s="159"/>
      <c r="UWG1" s="159"/>
      <c r="UWH1" s="159"/>
      <c r="UWI1" s="159"/>
      <c r="UWJ1" s="159"/>
      <c r="UWK1" s="159"/>
      <c r="UWL1" s="159"/>
      <c r="UWM1" s="159"/>
      <c r="UWN1" s="159"/>
      <c r="UWO1" s="159"/>
      <c r="UWP1" s="159"/>
      <c r="UWQ1" s="159"/>
      <c r="UWR1" s="159"/>
      <c r="UWS1" s="159"/>
      <c r="UWT1" s="159"/>
      <c r="UWU1" s="159"/>
      <c r="UWV1" s="159"/>
      <c r="UWW1" s="159"/>
      <c r="UWX1" s="159"/>
      <c r="UWY1" s="159"/>
      <c r="UWZ1" s="159"/>
      <c r="UXA1" s="159"/>
      <c r="UXB1" s="159"/>
      <c r="UXC1" s="159"/>
      <c r="UXD1" s="159"/>
      <c r="UXE1" s="159"/>
      <c r="UXF1" s="159"/>
      <c r="UXG1" s="159"/>
      <c r="UXH1" s="159"/>
      <c r="UXI1" s="159"/>
      <c r="UXJ1" s="159"/>
      <c r="UXK1" s="159"/>
      <c r="UXL1" s="159"/>
      <c r="UXM1" s="159"/>
      <c r="UXN1" s="159"/>
      <c r="UXO1" s="159"/>
      <c r="UXP1" s="159"/>
      <c r="UXQ1" s="159"/>
      <c r="UXR1" s="159"/>
      <c r="UXS1" s="159"/>
      <c r="UXT1" s="159"/>
      <c r="UXU1" s="159"/>
      <c r="UXV1" s="159"/>
      <c r="UXW1" s="159"/>
      <c r="UXX1" s="159"/>
      <c r="UXY1" s="159"/>
      <c r="UXZ1" s="159"/>
      <c r="UYA1" s="159"/>
      <c r="UYB1" s="159"/>
      <c r="UYC1" s="159"/>
      <c r="UYD1" s="159"/>
      <c r="UYE1" s="159"/>
      <c r="UYF1" s="159"/>
      <c r="UYG1" s="159"/>
      <c r="UYH1" s="159"/>
      <c r="UYI1" s="159"/>
      <c r="UYJ1" s="159"/>
      <c r="UYK1" s="159"/>
      <c r="UYL1" s="159"/>
      <c r="UYM1" s="159"/>
      <c r="UYN1" s="159"/>
      <c r="UYO1" s="159"/>
      <c r="UYP1" s="159"/>
      <c r="UYQ1" s="159"/>
      <c r="UYR1" s="159"/>
      <c r="VAC1" s="159"/>
      <c r="VAQ1" s="159"/>
      <c r="VAR1" s="159"/>
      <c r="VAS1" s="159"/>
      <c r="VAT1" s="159"/>
      <c r="VAU1" s="159"/>
      <c r="VAV1" s="159"/>
      <c r="VAW1" s="159"/>
      <c r="VAX1" s="159"/>
      <c r="VAY1" s="159"/>
      <c r="VAZ1" s="159"/>
      <c r="VBA1" s="159"/>
      <c r="VBB1" s="159"/>
      <c r="VBC1" s="159"/>
      <c r="VBD1" s="159"/>
      <c r="VBE1" s="159"/>
      <c r="VBF1" s="159"/>
      <c r="VBG1" s="159"/>
      <c r="VBH1" s="159"/>
      <c r="VBI1" s="159"/>
      <c r="VBJ1" s="159"/>
      <c r="VBK1" s="159"/>
      <c r="VBL1" s="159"/>
      <c r="VBM1" s="159"/>
      <c r="VBN1" s="159"/>
      <c r="VBO1" s="159"/>
      <c r="VBP1" s="159"/>
      <c r="VBQ1" s="159"/>
      <c r="VBR1" s="159"/>
      <c r="VBS1" s="159"/>
      <c r="VBT1" s="159"/>
      <c r="VBU1" s="159"/>
      <c r="VBV1" s="159"/>
      <c r="VBW1" s="159"/>
      <c r="VBX1" s="159"/>
      <c r="VBY1" s="159"/>
      <c r="VBZ1" s="159"/>
      <c r="VCA1" s="159"/>
      <c r="VCB1" s="159"/>
      <c r="VCC1" s="159"/>
      <c r="VCD1" s="159"/>
      <c r="VCE1" s="159"/>
      <c r="VCF1" s="159"/>
      <c r="VCG1" s="159"/>
      <c r="VCH1" s="159"/>
      <c r="VCI1" s="159"/>
      <c r="VCJ1" s="159"/>
      <c r="VCK1" s="159"/>
      <c r="VCL1" s="159"/>
      <c r="VCM1" s="159"/>
      <c r="VCN1" s="159"/>
      <c r="VCO1" s="159"/>
      <c r="VCP1" s="159"/>
      <c r="VCQ1" s="159"/>
      <c r="VCR1" s="159"/>
      <c r="VCS1" s="159"/>
      <c r="VCT1" s="159"/>
      <c r="VCU1" s="159"/>
      <c r="VCV1" s="159"/>
      <c r="VCW1" s="159"/>
      <c r="VCX1" s="159"/>
      <c r="VCY1" s="159"/>
      <c r="VCZ1" s="159"/>
      <c r="VDA1" s="159"/>
      <c r="VDB1" s="159"/>
      <c r="VDC1" s="159"/>
      <c r="VDD1" s="159"/>
      <c r="VDE1" s="159"/>
      <c r="VDF1" s="159"/>
      <c r="VDG1" s="159"/>
      <c r="VDH1" s="159"/>
      <c r="VDI1" s="159"/>
      <c r="VDJ1" s="159"/>
      <c r="VDK1" s="159"/>
      <c r="VDL1" s="159"/>
      <c r="VDM1" s="159"/>
      <c r="VDN1" s="159"/>
      <c r="VDO1" s="159"/>
      <c r="VDP1" s="159"/>
      <c r="VDQ1" s="159"/>
      <c r="VDR1" s="159"/>
      <c r="VDS1" s="159"/>
      <c r="VDT1" s="159"/>
      <c r="VDU1" s="159"/>
      <c r="VDV1" s="159"/>
      <c r="VDW1" s="159"/>
      <c r="VDX1" s="159"/>
      <c r="VDY1" s="159"/>
      <c r="VDZ1" s="159"/>
      <c r="VEA1" s="159"/>
      <c r="VEB1" s="159"/>
      <c r="VEC1" s="159"/>
      <c r="VED1" s="159"/>
      <c r="VEE1" s="159"/>
      <c r="VEF1" s="159"/>
      <c r="VEG1" s="159"/>
      <c r="VEH1" s="159"/>
      <c r="VEI1" s="159"/>
      <c r="VEJ1" s="159"/>
      <c r="VEK1" s="159"/>
      <c r="VEL1" s="159"/>
      <c r="VEM1" s="159"/>
      <c r="VEN1" s="159"/>
      <c r="VEO1" s="159"/>
      <c r="VEP1" s="159"/>
      <c r="VEQ1" s="159"/>
      <c r="VER1" s="159"/>
      <c r="VES1" s="159"/>
      <c r="VET1" s="159"/>
      <c r="VEU1" s="159"/>
      <c r="VEV1" s="159"/>
      <c r="VEW1" s="159"/>
      <c r="VEX1" s="159"/>
      <c r="VEY1" s="159"/>
      <c r="VEZ1" s="159"/>
      <c r="VFA1" s="159"/>
      <c r="VFB1" s="159"/>
      <c r="VFC1" s="159"/>
      <c r="VFD1" s="159"/>
      <c r="VFE1" s="159"/>
      <c r="VFF1" s="159"/>
      <c r="VFG1" s="159"/>
      <c r="VFH1" s="159"/>
      <c r="VFI1" s="159"/>
      <c r="VFJ1" s="159"/>
      <c r="VFK1" s="159"/>
      <c r="VFL1" s="159"/>
      <c r="VFM1" s="159"/>
      <c r="VFN1" s="159"/>
      <c r="VFO1" s="159"/>
      <c r="VFP1" s="159"/>
      <c r="VFQ1" s="159"/>
      <c r="VFR1" s="159"/>
      <c r="VFS1" s="159"/>
      <c r="VFT1" s="159"/>
      <c r="VFU1" s="159"/>
      <c r="VFV1" s="159"/>
      <c r="VFW1" s="159"/>
      <c r="VFX1" s="159"/>
      <c r="VFY1" s="159"/>
      <c r="VFZ1" s="159"/>
      <c r="VGA1" s="159"/>
      <c r="VGB1" s="159"/>
      <c r="VGC1" s="159"/>
      <c r="VGD1" s="159"/>
      <c r="VGE1" s="159"/>
      <c r="VGF1" s="159"/>
      <c r="VGG1" s="159"/>
      <c r="VGH1" s="159"/>
      <c r="VGI1" s="159"/>
      <c r="VGJ1" s="159"/>
      <c r="VGK1" s="159"/>
      <c r="VGL1" s="159"/>
      <c r="VGM1" s="159"/>
      <c r="VGN1" s="159"/>
      <c r="VGO1" s="159"/>
      <c r="VGP1" s="159"/>
      <c r="VGQ1" s="159"/>
      <c r="VGR1" s="159"/>
      <c r="VGS1" s="159"/>
      <c r="VGT1" s="159"/>
      <c r="VGU1" s="159"/>
      <c r="VGV1" s="159"/>
      <c r="VGW1" s="159"/>
      <c r="VGX1" s="159"/>
      <c r="VGY1" s="159"/>
      <c r="VGZ1" s="159"/>
      <c r="VHA1" s="159"/>
      <c r="VHB1" s="159"/>
      <c r="VHC1" s="159"/>
      <c r="VHD1" s="159"/>
      <c r="VHE1" s="159"/>
      <c r="VHF1" s="159"/>
      <c r="VHG1" s="159"/>
      <c r="VHH1" s="159"/>
      <c r="VHI1" s="159"/>
      <c r="VHJ1" s="159"/>
      <c r="VHK1" s="159"/>
      <c r="VHL1" s="159"/>
      <c r="VHM1" s="159"/>
      <c r="VHN1" s="159"/>
      <c r="VHO1" s="159"/>
      <c r="VHP1" s="159"/>
      <c r="VHQ1" s="159"/>
      <c r="VHR1" s="159"/>
      <c r="VHS1" s="159"/>
      <c r="VHT1" s="159"/>
      <c r="VHU1" s="159"/>
      <c r="VHV1" s="159"/>
      <c r="VHW1" s="159"/>
      <c r="VHX1" s="159"/>
      <c r="VHY1" s="159"/>
      <c r="VHZ1" s="159"/>
      <c r="VIA1" s="159"/>
      <c r="VIB1" s="159"/>
      <c r="VIC1" s="159"/>
      <c r="VID1" s="159"/>
      <c r="VIE1" s="159"/>
      <c r="VIF1" s="159"/>
      <c r="VIG1" s="159"/>
      <c r="VIH1" s="159"/>
      <c r="VII1" s="159"/>
      <c r="VIJ1" s="159"/>
      <c r="VIK1" s="159"/>
      <c r="VIL1" s="159"/>
      <c r="VIM1" s="159"/>
      <c r="VIN1" s="159"/>
      <c r="VJY1" s="159"/>
      <c r="VKM1" s="159"/>
      <c r="VKN1" s="159"/>
      <c r="VKO1" s="159"/>
      <c r="VKP1" s="159"/>
      <c r="VKQ1" s="159"/>
      <c r="VKR1" s="159"/>
      <c r="VKS1" s="159"/>
      <c r="VKT1" s="159"/>
      <c r="VKU1" s="159"/>
      <c r="VKV1" s="159"/>
      <c r="VKW1" s="159"/>
      <c r="VKX1" s="159"/>
      <c r="VKY1" s="159"/>
      <c r="VKZ1" s="159"/>
      <c r="VLA1" s="159"/>
      <c r="VLB1" s="159"/>
      <c r="VLC1" s="159"/>
      <c r="VLD1" s="159"/>
      <c r="VLE1" s="159"/>
      <c r="VLF1" s="159"/>
      <c r="VLG1" s="159"/>
      <c r="VLH1" s="159"/>
      <c r="VLI1" s="159"/>
      <c r="VLJ1" s="159"/>
      <c r="VLK1" s="159"/>
      <c r="VLL1" s="159"/>
      <c r="VLM1" s="159"/>
      <c r="VLN1" s="159"/>
      <c r="VLO1" s="159"/>
      <c r="VLP1" s="159"/>
      <c r="VLQ1" s="159"/>
      <c r="VLR1" s="159"/>
      <c r="VLS1" s="159"/>
      <c r="VLT1" s="159"/>
      <c r="VLU1" s="159"/>
      <c r="VLV1" s="159"/>
      <c r="VLW1" s="159"/>
      <c r="VLX1" s="159"/>
      <c r="VLY1" s="159"/>
      <c r="VLZ1" s="159"/>
      <c r="VMA1" s="159"/>
      <c r="VMB1" s="159"/>
      <c r="VMC1" s="159"/>
      <c r="VMD1" s="159"/>
      <c r="VME1" s="159"/>
      <c r="VMF1" s="159"/>
      <c r="VMG1" s="159"/>
      <c r="VMH1" s="159"/>
      <c r="VMI1" s="159"/>
      <c r="VMJ1" s="159"/>
      <c r="VMK1" s="159"/>
      <c r="VML1" s="159"/>
      <c r="VMM1" s="159"/>
      <c r="VMN1" s="159"/>
      <c r="VMO1" s="159"/>
      <c r="VMP1" s="159"/>
      <c r="VMQ1" s="159"/>
      <c r="VMR1" s="159"/>
      <c r="VMS1" s="159"/>
      <c r="VMT1" s="159"/>
      <c r="VMU1" s="159"/>
      <c r="VMV1" s="159"/>
      <c r="VMW1" s="159"/>
      <c r="VMX1" s="159"/>
      <c r="VMY1" s="159"/>
      <c r="VMZ1" s="159"/>
      <c r="VNA1" s="159"/>
      <c r="VNB1" s="159"/>
      <c r="VNC1" s="159"/>
      <c r="VND1" s="159"/>
      <c r="VNE1" s="159"/>
      <c r="VNF1" s="159"/>
      <c r="VNG1" s="159"/>
      <c r="VNH1" s="159"/>
      <c r="VNI1" s="159"/>
      <c r="VNJ1" s="159"/>
      <c r="VNK1" s="159"/>
      <c r="VNL1" s="159"/>
      <c r="VNM1" s="159"/>
      <c r="VNN1" s="159"/>
      <c r="VNO1" s="159"/>
      <c r="VNP1" s="159"/>
      <c r="VNQ1" s="159"/>
      <c r="VNR1" s="159"/>
      <c r="VNS1" s="159"/>
      <c r="VNT1" s="159"/>
      <c r="VNU1" s="159"/>
      <c r="VNV1" s="159"/>
      <c r="VNW1" s="159"/>
      <c r="VNX1" s="159"/>
      <c r="VNY1" s="159"/>
      <c r="VNZ1" s="159"/>
      <c r="VOA1" s="159"/>
      <c r="VOB1" s="159"/>
      <c r="VOC1" s="159"/>
      <c r="VOD1" s="159"/>
      <c r="VOE1" s="159"/>
      <c r="VOF1" s="159"/>
      <c r="VOG1" s="159"/>
      <c r="VOH1" s="159"/>
      <c r="VOI1" s="159"/>
      <c r="VOJ1" s="159"/>
      <c r="VOK1" s="159"/>
      <c r="VOL1" s="159"/>
      <c r="VOM1" s="159"/>
      <c r="VON1" s="159"/>
      <c r="VOO1" s="159"/>
      <c r="VOP1" s="159"/>
      <c r="VOQ1" s="159"/>
      <c r="VOR1" s="159"/>
      <c r="VOS1" s="159"/>
      <c r="VOT1" s="159"/>
      <c r="VOU1" s="159"/>
      <c r="VOV1" s="159"/>
      <c r="VOW1" s="159"/>
      <c r="VOX1" s="159"/>
      <c r="VOY1" s="159"/>
      <c r="VOZ1" s="159"/>
      <c r="VPA1" s="159"/>
      <c r="VPB1" s="159"/>
      <c r="VPC1" s="159"/>
      <c r="VPD1" s="159"/>
      <c r="VPE1" s="159"/>
      <c r="VPF1" s="159"/>
      <c r="VPG1" s="159"/>
      <c r="VPH1" s="159"/>
      <c r="VPI1" s="159"/>
      <c r="VPJ1" s="159"/>
      <c r="VPK1" s="159"/>
      <c r="VPL1" s="159"/>
      <c r="VPM1" s="159"/>
      <c r="VPN1" s="159"/>
      <c r="VPO1" s="159"/>
      <c r="VPP1" s="159"/>
      <c r="VPQ1" s="159"/>
      <c r="VPR1" s="159"/>
      <c r="VPS1" s="159"/>
      <c r="VPT1" s="159"/>
      <c r="VPU1" s="159"/>
      <c r="VPV1" s="159"/>
      <c r="VPW1" s="159"/>
      <c r="VPX1" s="159"/>
      <c r="VPY1" s="159"/>
      <c r="VPZ1" s="159"/>
      <c r="VQA1" s="159"/>
      <c r="VQB1" s="159"/>
      <c r="VQC1" s="159"/>
      <c r="VQD1" s="159"/>
      <c r="VQE1" s="159"/>
      <c r="VQF1" s="159"/>
      <c r="VQG1" s="159"/>
      <c r="VQH1" s="159"/>
      <c r="VQI1" s="159"/>
      <c r="VQJ1" s="159"/>
      <c r="VQK1" s="159"/>
      <c r="VQL1" s="159"/>
      <c r="VQM1" s="159"/>
      <c r="VQN1" s="159"/>
      <c r="VQO1" s="159"/>
      <c r="VQP1" s="159"/>
      <c r="VQQ1" s="159"/>
      <c r="VQR1" s="159"/>
      <c r="VQS1" s="159"/>
      <c r="VQT1" s="159"/>
      <c r="VQU1" s="159"/>
      <c r="VQV1" s="159"/>
      <c r="VQW1" s="159"/>
      <c r="VQX1" s="159"/>
      <c r="VQY1" s="159"/>
      <c r="VQZ1" s="159"/>
      <c r="VRA1" s="159"/>
      <c r="VRB1" s="159"/>
      <c r="VRC1" s="159"/>
      <c r="VRD1" s="159"/>
      <c r="VRE1" s="159"/>
      <c r="VRF1" s="159"/>
      <c r="VRG1" s="159"/>
      <c r="VRH1" s="159"/>
      <c r="VRI1" s="159"/>
      <c r="VRJ1" s="159"/>
      <c r="VRK1" s="159"/>
      <c r="VRL1" s="159"/>
      <c r="VRM1" s="159"/>
      <c r="VRN1" s="159"/>
      <c r="VRO1" s="159"/>
      <c r="VRP1" s="159"/>
      <c r="VRQ1" s="159"/>
      <c r="VRR1" s="159"/>
      <c r="VRS1" s="159"/>
      <c r="VRT1" s="159"/>
      <c r="VRU1" s="159"/>
      <c r="VRV1" s="159"/>
      <c r="VRW1" s="159"/>
      <c r="VRX1" s="159"/>
      <c r="VRY1" s="159"/>
      <c r="VRZ1" s="159"/>
      <c r="VSA1" s="159"/>
      <c r="VSB1" s="159"/>
      <c r="VSC1" s="159"/>
      <c r="VSD1" s="159"/>
      <c r="VSE1" s="159"/>
      <c r="VSF1" s="159"/>
      <c r="VSG1" s="159"/>
      <c r="VSH1" s="159"/>
      <c r="VSI1" s="159"/>
      <c r="VSJ1" s="159"/>
      <c r="VTU1" s="159"/>
      <c r="VUI1" s="159"/>
      <c r="VUJ1" s="159"/>
      <c r="VUK1" s="159"/>
      <c r="VUL1" s="159"/>
      <c r="VUM1" s="159"/>
      <c r="VUN1" s="159"/>
      <c r="VUO1" s="159"/>
      <c r="VUP1" s="159"/>
      <c r="VUQ1" s="159"/>
      <c r="VUR1" s="159"/>
      <c r="VUS1" s="159"/>
      <c r="VUT1" s="159"/>
      <c r="VUU1" s="159"/>
      <c r="VUV1" s="159"/>
      <c r="VUW1" s="159"/>
      <c r="VUX1" s="159"/>
      <c r="VUY1" s="159"/>
      <c r="VUZ1" s="159"/>
      <c r="VVA1" s="159"/>
      <c r="VVB1" s="159"/>
      <c r="VVC1" s="159"/>
      <c r="VVD1" s="159"/>
      <c r="VVE1" s="159"/>
      <c r="VVF1" s="159"/>
      <c r="VVG1" s="159"/>
      <c r="VVH1" s="159"/>
      <c r="VVI1" s="159"/>
      <c r="VVJ1" s="159"/>
      <c r="VVK1" s="159"/>
      <c r="VVL1" s="159"/>
      <c r="VVM1" s="159"/>
      <c r="VVN1" s="159"/>
      <c r="VVO1" s="159"/>
      <c r="VVP1" s="159"/>
      <c r="VVQ1" s="159"/>
      <c r="VVR1" s="159"/>
      <c r="VVS1" s="159"/>
      <c r="VVT1" s="159"/>
      <c r="VVU1" s="159"/>
      <c r="VVV1" s="159"/>
      <c r="VVW1" s="159"/>
      <c r="VVX1" s="159"/>
      <c r="VVY1" s="159"/>
      <c r="VVZ1" s="159"/>
      <c r="VWA1" s="159"/>
      <c r="VWB1" s="159"/>
      <c r="VWC1" s="159"/>
      <c r="VWD1" s="159"/>
      <c r="VWE1" s="159"/>
      <c r="VWF1" s="159"/>
      <c r="VWG1" s="159"/>
      <c r="VWH1" s="159"/>
      <c r="VWI1" s="159"/>
      <c r="VWJ1" s="159"/>
      <c r="VWK1" s="159"/>
      <c r="VWL1" s="159"/>
      <c r="VWM1" s="159"/>
      <c r="VWN1" s="159"/>
      <c r="VWO1" s="159"/>
      <c r="VWP1" s="159"/>
      <c r="VWQ1" s="159"/>
      <c r="VWR1" s="159"/>
      <c r="VWS1" s="159"/>
      <c r="VWT1" s="159"/>
      <c r="VWU1" s="159"/>
      <c r="VWV1" s="159"/>
      <c r="VWW1" s="159"/>
      <c r="VWX1" s="159"/>
      <c r="VWY1" s="159"/>
      <c r="VWZ1" s="159"/>
      <c r="VXA1" s="159"/>
      <c r="VXB1" s="159"/>
      <c r="VXC1" s="159"/>
      <c r="VXD1" s="159"/>
      <c r="VXE1" s="159"/>
      <c r="VXF1" s="159"/>
      <c r="VXG1" s="159"/>
      <c r="VXH1" s="159"/>
      <c r="VXI1" s="159"/>
      <c r="VXJ1" s="159"/>
      <c r="VXK1" s="159"/>
      <c r="VXL1" s="159"/>
      <c r="VXM1" s="159"/>
      <c r="VXN1" s="159"/>
      <c r="VXO1" s="159"/>
      <c r="VXP1" s="159"/>
      <c r="VXQ1" s="159"/>
      <c r="VXR1" s="159"/>
      <c r="VXS1" s="159"/>
      <c r="VXT1" s="159"/>
      <c r="VXU1" s="159"/>
      <c r="VXV1" s="159"/>
      <c r="VXW1" s="159"/>
      <c r="VXX1" s="159"/>
      <c r="VXY1" s="159"/>
      <c r="VXZ1" s="159"/>
      <c r="VYA1" s="159"/>
      <c r="VYB1" s="159"/>
      <c r="VYC1" s="159"/>
      <c r="VYD1" s="159"/>
      <c r="VYE1" s="159"/>
      <c r="VYF1" s="159"/>
      <c r="VYG1" s="159"/>
      <c r="VYH1" s="159"/>
      <c r="VYI1" s="159"/>
      <c r="VYJ1" s="159"/>
      <c r="VYK1" s="159"/>
      <c r="VYL1" s="159"/>
      <c r="VYM1" s="159"/>
      <c r="VYN1" s="159"/>
      <c r="VYO1" s="159"/>
      <c r="VYP1" s="159"/>
      <c r="VYQ1" s="159"/>
      <c r="VYR1" s="159"/>
      <c r="VYS1" s="159"/>
      <c r="VYT1" s="159"/>
      <c r="VYU1" s="159"/>
      <c r="VYV1" s="159"/>
      <c r="VYW1" s="159"/>
      <c r="VYX1" s="159"/>
      <c r="VYY1" s="159"/>
      <c r="VYZ1" s="159"/>
      <c r="VZA1" s="159"/>
      <c r="VZB1" s="159"/>
      <c r="VZC1" s="159"/>
      <c r="VZD1" s="159"/>
      <c r="VZE1" s="159"/>
      <c r="VZF1" s="159"/>
      <c r="VZG1" s="159"/>
      <c r="VZH1" s="159"/>
      <c r="VZI1" s="159"/>
      <c r="VZJ1" s="159"/>
      <c r="VZK1" s="159"/>
      <c r="VZL1" s="159"/>
      <c r="VZM1" s="159"/>
      <c r="VZN1" s="159"/>
      <c r="VZO1" s="159"/>
      <c r="VZP1" s="159"/>
      <c r="VZQ1" s="159"/>
      <c r="VZR1" s="159"/>
      <c r="VZS1" s="159"/>
      <c r="VZT1" s="159"/>
      <c r="VZU1" s="159"/>
      <c r="VZV1" s="159"/>
      <c r="VZW1" s="159"/>
      <c r="VZX1" s="159"/>
      <c r="VZY1" s="159"/>
      <c r="VZZ1" s="159"/>
      <c r="WAA1" s="159"/>
      <c r="WAB1" s="159"/>
      <c r="WAC1" s="159"/>
      <c r="WAD1" s="159"/>
      <c r="WAE1" s="159"/>
      <c r="WAF1" s="159"/>
      <c r="WAG1" s="159"/>
      <c r="WAH1" s="159"/>
      <c r="WAI1" s="159"/>
      <c r="WAJ1" s="159"/>
      <c r="WAK1" s="159"/>
      <c r="WAL1" s="159"/>
      <c r="WAM1" s="159"/>
      <c r="WAN1" s="159"/>
      <c r="WAO1" s="159"/>
      <c r="WAP1" s="159"/>
      <c r="WAQ1" s="159"/>
      <c r="WAR1" s="159"/>
      <c r="WAS1" s="159"/>
      <c r="WAT1" s="159"/>
      <c r="WAU1" s="159"/>
      <c r="WAV1" s="159"/>
      <c r="WAW1" s="159"/>
      <c r="WAX1" s="159"/>
      <c r="WAY1" s="159"/>
      <c r="WAZ1" s="159"/>
      <c r="WBA1" s="159"/>
      <c r="WBB1" s="159"/>
      <c r="WBC1" s="159"/>
      <c r="WBD1" s="159"/>
      <c r="WBE1" s="159"/>
      <c r="WBF1" s="159"/>
      <c r="WBG1" s="159"/>
      <c r="WBH1" s="159"/>
      <c r="WBI1" s="159"/>
      <c r="WBJ1" s="159"/>
      <c r="WBK1" s="159"/>
      <c r="WBL1" s="159"/>
      <c r="WBM1" s="159"/>
      <c r="WBN1" s="159"/>
      <c r="WBO1" s="159"/>
      <c r="WBP1" s="159"/>
      <c r="WBQ1" s="159"/>
      <c r="WBR1" s="159"/>
      <c r="WBS1" s="159"/>
      <c r="WBT1" s="159"/>
      <c r="WBU1" s="159"/>
      <c r="WBV1" s="159"/>
      <c r="WBW1" s="159"/>
      <c r="WBX1" s="159"/>
      <c r="WBY1" s="159"/>
      <c r="WBZ1" s="159"/>
      <c r="WCA1" s="159"/>
      <c r="WCB1" s="159"/>
      <c r="WCC1" s="159"/>
      <c r="WCD1" s="159"/>
      <c r="WCE1" s="159"/>
      <c r="WCF1" s="159"/>
      <c r="WDQ1" s="159"/>
      <c r="WEE1" s="159"/>
      <c r="WEF1" s="159"/>
      <c r="WEG1" s="159"/>
      <c r="WEH1" s="159"/>
      <c r="WEI1" s="159"/>
      <c r="WEJ1" s="159"/>
      <c r="WEK1" s="159"/>
      <c r="WEL1" s="159"/>
      <c r="WEM1" s="159"/>
      <c r="WEN1" s="159"/>
      <c r="WEO1" s="159"/>
      <c r="WEP1" s="159"/>
      <c r="WEQ1" s="159"/>
      <c r="WER1" s="159"/>
      <c r="WES1" s="159"/>
      <c r="WET1" s="159"/>
      <c r="WEU1" s="159"/>
      <c r="WEV1" s="159"/>
      <c r="WEW1" s="159"/>
      <c r="WEX1" s="159"/>
      <c r="WEY1" s="159"/>
      <c r="WEZ1" s="159"/>
      <c r="WFA1" s="159"/>
      <c r="WFB1" s="159"/>
      <c r="WFC1" s="159"/>
      <c r="WFD1" s="159"/>
      <c r="WFE1" s="159"/>
      <c r="WFF1" s="159"/>
      <c r="WFG1" s="159"/>
      <c r="WFH1" s="159"/>
      <c r="WFI1" s="159"/>
      <c r="WFJ1" s="159"/>
      <c r="WFK1" s="159"/>
      <c r="WFL1" s="159"/>
      <c r="WFM1" s="159"/>
      <c r="WFN1" s="159"/>
      <c r="WFO1" s="159"/>
      <c r="WFP1" s="159"/>
      <c r="WFQ1" s="159"/>
      <c r="WFR1" s="159"/>
      <c r="WFS1" s="159"/>
      <c r="WFT1" s="159"/>
      <c r="WFU1" s="159"/>
      <c r="WFV1" s="159"/>
      <c r="WFW1" s="159"/>
      <c r="WFX1" s="159"/>
      <c r="WFY1" s="159"/>
      <c r="WFZ1" s="159"/>
      <c r="WGA1" s="159"/>
      <c r="WGB1" s="159"/>
      <c r="WGC1" s="159"/>
      <c r="WGD1" s="159"/>
      <c r="WGE1" s="159"/>
      <c r="WGF1" s="159"/>
      <c r="WGG1" s="159"/>
      <c r="WGH1" s="159"/>
      <c r="WGI1" s="159"/>
      <c r="WGJ1" s="159"/>
      <c r="WGK1" s="159"/>
      <c r="WGL1" s="159"/>
      <c r="WGM1" s="159"/>
      <c r="WGN1" s="159"/>
      <c r="WGO1" s="159"/>
      <c r="WGP1" s="159"/>
      <c r="WGQ1" s="159"/>
      <c r="WGR1" s="159"/>
      <c r="WGS1" s="159"/>
      <c r="WGT1" s="159"/>
      <c r="WGU1" s="159"/>
      <c r="WGV1" s="159"/>
      <c r="WGW1" s="159"/>
      <c r="WGX1" s="159"/>
      <c r="WGY1" s="159"/>
      <c r="WGZ1" s="159"/>
      <c r="WHA1" s="159"/>
      <c r="WHB1" s="159"/>
      <c r="WHC1" s="159"/>
      <c r="WHD1" s="159"/>
      <c r="WHE1" s="159"/>
      <c r="WHF1" s="159"/>
      <c r="WHG1" s="159"/>
      <c r="WHH1" s="159"/>
      <c r="WHI1" s="159"/>
      <c r="WHJ1" s="159"/>
      <c r="WHK1" s="159"/>
      <c r="WHL1" s="159"/>
      <c r="WHM1" s="159"/>
      <c r="WHN1" s="159"/>
      <c r="WHO1" s="159"/>
      <c r="WHP1" s="159"/>
      <c r="WHQ1" s="159"/>
      <c r="WHR1" s="159"/>
      <c r="WHS1" s="159"/>
      <c r="WHT1" s="159"/>
      <c r="WHU1" s="159"/>
      <c r="WHV1" s="159"/>
      <c r="WHW1" s="159"/>
      <c r="WHX1" s="159"/>
      <c r="WHY1" s="159"/>
      <c r="WHZ1" s="159"/>
      <c r="WIA1" s="159"/>
      <c r="WIB1" s="159"/>
      <c r="WIC1" s="159"/>
      <c r="WID1" s="159"/>
      <c r="WIE1" s="159"/>
      <c r="WIF1" s="159"/>
      <c r="WIG1" s="159"/>
      <c r="WIH1" s="159"/>
      <c r="WII1" s="159"/>
      <c r="WIJ1" s="159"/>
      <c r="WIK1" s="159"/>
      <c r="WIL1" s="159"/>
      <c r="WIM1" s="159"/>
      <c r="WIN1" s="159"/>
      <c r="WIO1" s="159"/>
      <c r="WIP1" s="159"/>
      <c r="WIQ1" s="159"/>
      <c r="WIR1" s="159"/>
      <c r="WIS1" s="159"/>
      <c r="WIT1" s="159"/>
      <c r="WIU1" s="159"/>
      <c r="WIV1" s="159"/>
      <c r="WIW1" s="159"/>
      <c r="WIX1" s="159"/>
      <c r="WIY1" s="159"/>
      <c r="WIZ1" s="159"/>
      <c r="WJA1" s="159"/>
      <c r="WJB1" s="159"/>
      <c r="WJC1" s="159"/>
      <c r="WJD1" s="159"/>
      <c r="WJE1" s="159"/>
      <c r="WJF1" s="159"/>
      <c r="WJG1" s="159"/>
      <c r="WJH1" s="159"/>
      <c r="WJI1" s="159"/>
      <c r="WJJ1" s="159"/>
      <c r="WJK1" s="159"/>
      <c r="WJL1" s="159"/>
      <c r="WJM1" s="159"/>
      <c r="WJN1" s="159"/>
      <c r="WJO1" s="159"/>
      <c r="WJP1" s="159"/>
      <c r="WJQ1" s="159"/>
      <c r="WJR1" s="159"/>
      <c r="WJS1" s="159"/>
      <c r="WJT1" s="159"/>
      <c r="WJU1" s="159"/>
      <c r="WJV1" s="159"/>
      <c r="WJW1" s="159"/>
      <c r="WJX1" s="159"/>
      <c r="WJY1" s="159"/>
      <c r="WJZ1" s="159"/>
      <c r="WKA1" s="159"/>
      <c r="WKB1" s="159"/>
      <c r="WKC1" s="159"/>
      <c r="WKD1" s="159"/>
      <c r="WKE1" s="159"/>
      <c r="WKF1" s="159"/>
      <c r="WKG1" s="159"/>
      <c r="WKH1" s="159"/>
      <c r="WKI1" s="159"/>
      <c r="WKJ1" s="159"/>
      <c r="WKK1" s="159"/>
      <c r="WKL1" s="159"/>
      <c r="WKM1" s="159"/>
      <c r="WKN1" s="159"/>
      <c r="WKO1" s="159"/>
      <c r="WKP1" s="159"/>
      <c r="WKQ1" s="159"/>
      <c r="WKR1" s="159"/>
      <c r="WKS1" s="159"/>
      <c r="WKT1" s="159"/>
      <c r="WKU1" s="159"/>
      <c r="WKV1" s="159"/>
      <c r="WKW1" s="159"/>
      <c r="WKX1" s="159"/>
      <c r="WKY1" s="159"/>
      <c r="WKZ1" s="159"/>
      <c r="WLA1" s="159"/>
      <c r="WLB1" s="159"/>
      <c r="WLC1" s="159"/>
      <c r="WLD1" s="159"/>
      <c r="WLE1" s="159"/>
      <c r="WLF1" s="159"/>
      <c r="WLG1" s="159"/>
      <c r="WLH1" s="159"/>
      <c r="WLI1" s="159"/>
      <c r="WLJ1" s="159"/>
      <c r="WLK1" s="159"/>
      <c r="WLL1" s="159"/>
      <c r="WLM1" s="159"/>
      <c r="WLN1" s="159"/>
      <c r="WLO1" s="159"/>
      <c r="WLP1" s="159"/>
      <c r="WLQ1" s="159"/>
      <c r="WLR1" s="159"/>
      <c r="WLS1" s="159"/>
      <c r="WLT1" s="159"/>
      <c r="WLU1" s="159"/>
      <c r="WLV1" s="159"/>
      <c r="WLW1" s="159"/>
      <c r="WLX1" s="159"/>
      <c r="WLY1" s="159"/>
      <c r="WLZ1" s="159"/>
      <c r="WMA1" s="159"/>
      <c r="WMB1" s="159"/>
      <c r="WNM1" s="159"/>
      <c r="WOA1" s="159"/>
      <c r="WOB1" s="159"/>
      <c r="WOC1" s="159"/>
      <c r="WOD1" s="159"/>
      <c r="WOE1" s="159"/>
      <c r="WOF1" s="159"/>
      <c r="WOG1" s="159"/>
      <c r="WOH1" s="159"/>
      <c r="WOI1" s="159"/>
      <c r="WOJ1" s="159"/>
      <c r="WOK1" s="159"/>
      <c r="WOL1" s="159"/>
      <c r="WOM1" s="159"/>
      <c r="WON1" s="159"/>
      <c r="WOO1" s="159"/>
      <c r="WOP1" s="159"/>
      <c r="WOQ1" s="159"/>
      <c r="WOR1" s="159"/>
      <c r="WOS1" s="159"/>
      <c r="WOT1" s="159"/>
      <c r="WOU1" s="159"/>
      <c r="WOV1" s="159"/>
      <c r="WOW1" s="159"/>
      <c r="WOX1" s="159"/>
      <c r="WOY1" s="159"/>
      <c r="WOZ1" s="159"/>
      <c r="WPA1" s="159"/>
      <c r="WPB1" s="159"/>
      <c r="WPC1" s="159"/>
      <c r="WPD1" s="159"/>
      <c r="WPE1" s="159"/>
      <c r="WPF1" s="159"/>
      <c r="WPG1" s="159"/>
      <c r="WPH1" s="159"/>
      <c r="WPI1" s="159"/>
      <c r="WPJ1" s="159"/>
      <c r="WPK1" s="159"/>
      <c r="WPL1" s="159"/>
      <c r="WPM1" s="159"/>
      <c r="WPN1" s="159"/>
      <c r="WPO1" s="159"/>
      <c r="WPP1" s="159"/>
      <c r="WPQ1" s="159"/>
      <c r="WPR1" s="159"/>
      <c r="WPS1" s="159"/>
      <c r="WPT1" s="159"/>
      <c r="WPU1" s="159"/>
      <c r="WPV1" s="159"/>
      <c r="WPW1" s="159"/>
      <c r="WPX1" s="159"/>
      <c r="WPY1" s="159"/>
      <c r="WPZ1" s="159"/>
      <c r="WQA1" s="159"/>
      <c r="WQB1" s="159"/>
      <c r="WQC1" s="159"/>
      <c r="WQD1" s="159"/>
      <c r="WQE1" s="159"/>
      <c r="WQF1" s="159"/>
      <c r="WQG1" s="159"/>
      <c r="WQH1" s="159"/>
      <c r="WQI1" s="159"/>
      <c r="WQJ1" s="159"/>
      <c r="WQK1" s="159"/>
      <c r="WQL1" s="159"/>
      <c r="WQM1" s="159"/>
      <c r="WQN1" s="159"/>
      <c r="WQO1" s="159"/>
      <c r="WQP1" s="159"/>
      <c r="WQQ1" s="159"/>
      <c r="WQR1" s="159"/>
      <c r="WQS1" s="159"/>
      <c r="WQT1" s="159"/>
      <c r="WQU1" s="159"/>
      <c r="WQV1" s="159"/>
      <c r="WQW1" s="159"/>
      <c r="WQX1" s="159"/>
      <c r="WQY1" s="159"/>
      <c r="WQZ1" s="159"/>
      <c r="WRA1" s="159"/>
      <c r="WRB1" s="159"/>
      <c r="WRC1" s="159"/>
      <c r="WRD1" s="159"/>
      <c r="WRE1" s="159"/>
      <c r="WRF1" s="159"/>
      <c r="WRG1" s="159"/>
      <c r="WRH1" s="159"/>
      <c r="WRI1" s="159"/>
      <c r="WRJ1" s="159"/>
      <c r="WRK1" s="159"/>
      <c r="WRL1" s="159"/>
      <c r="WRM1" s="159"/>
      <c r="WRN1" s="159"/>
      <c r="WRO1" s="159"/>
      <c r="WRP1" s="159"/>
      <c r="WRQ1" s="159"/>
      <c r="WRR1" s="159"/>
      <c r="WRS1" s="159"/>
      <c r="WRT1" s="159"/>
      <c r="WRU1" s="159"/>
      <c r="WRV1" s="159"/>
      <c r="WRW1" s="159"/>
      <c r="WRX1" s="159"/>
      <c r="WRY1" s="159"/>
      <c r="WRZ1" s="159"/>
      <c r="WSA1" s="159"/>
      <c r="WSB1" s="159"/>
      <c r="WSC1" s="159"/>
      <c r="WSD1" s="159"/>
      <c r="WSE1" s="159"/>
      <c r="WSF1" s="159"/>
      <c r="WSG1" s="159"/>
      <c r="WSH1" s="159"/>
      <c r="WSI1" s="159"/>
      <c r="WSJ1" s="159"/>
      <c r="WSK1" s="159"/>
      <c r="WSL1" s="159"/>
      <c r="WSM1" s="159"/>
      <c r="WSN1" s="159"/>
      <c r="WSO1" s="159"/>
      <c r="WSP1" s="159"/>
      <c r="WSQ1" s="159"/>
      <c r="WSR1" s="159"/>
      <c r="WSS1" s="159"/>
      <c r="WST1" s="159"/>
      <c r="WSU1" s="159"/>
      <c r="WSV1" s="159"/>
      <c r="WSW1" s="159"/>
      <c r="WSX1" s="159"/>
      <c r="WSY1" s="159"/>
      <c r="WSZ1" s="159"/>
      <c r="WTA1" s="159"/>
      <c r="WTB1" s="159"/>
      <c r="WTC1" s="159"/>
      <c r="WTD1" s="159"/>
      <c r="WTE1" s="159"/>
      <c r="WTF1" s="159"/>
      <c r="WTG1" s="159"/>
      <c r="WTH1" s="159"/>
      <c r="WTI1" s="159"/>
      <c r="WTJ1" s="159"/>
      <c r="WTK1" s="159"/>
      <c r="WTL1" s="159"/>
      <c r="WTM1" s="159"/>
      <c r="WTN1" s="159"/>
      <c r="WTO1" s="159"/>
      <c r="WTP1" s="159"/>
      <c r="WTQ1" s="159"/>
      <c r="WTR1" s="159"/>
      <c r="WTS1" s="159"/>
      <c r="WTT1" s="159"/>
      <c r="WTU1" s="159"/>
      <c r="WTV1" s="159"/>
      <c r="WTW1" s="159"/>
      <c r="WTX1" s="159"/>
      <c r="WTY1" s="159"/>
      <c r="WTZ1" s="159"/>
      <c r="WUA1" s="159"/>
      <c r="WUB1" s="159"/>
      <c r="WUC1" s="159"/>
      <c r="WUD1" s="159"/>
      <c r="WUE1" s="159"/>
      <c r="WUF1" s="159"/>
      <c r="WUG1" s="159"/>
      <c r="WUH1" s="159"/>
      <c r="WUI1" s="159"/>
      <c r="WUJ1" s="159"/>
      <c r="WUK1" s="159"/>
      <c r="WUL1" s="159"/>
      <c r="WUM1" s="159"/>
      <c r="WUN1" s="159"/>
      <c r="WUO1" s="159"/>
      <c r="WUP1" s="159"/>
      <c r="WUQ1" s="159"/>
      <c r="WUR1" s="159"/>
      <c r="WUS1" s="159"/>
      <c r="WUT1" s="159"/>
      <c r="WUU1" s="159"/>
      <c r="WUV1" s="159"/>
      <c r="WUW1" s="159"/>
      <c r="WUX1" s="159"/>
      <c r="WUY1" s="159"/>
      <c r="WUZ1" s="159"/>
      <c r="WVA1" s="159"/>
      <c r="WVB1" s="159"/>
      <c r="WVC1" s="159"/>
      <c r="WVD1" s="159"/>
      <c r="WVE1" s="159"/>
      <c r="WVF1" s="159"/>
      <c r="WVG1" s="159"/>
      <c r="WVH1" s="159"/>
      <c r="WVI1" s="159"/>
      <c r="WVJ1" s="159"/>
      <c r="WVK1" s="159"/>
      <c r="WVL1" s="159"/>
      <c r="WVM1" s="159"/>
      <c r="WVN1" s="159"/>
      <c r="WVO1" s="159"/>
      <c r="WVP1" s="159"/>
      <c r="WVQ1" s="159"/>
      <c r="WVR1" s="159"/>
      <c r="WVS1" s="159"/>
      <c r="WVT1" s="159"/>
      <c r="WVU1" s="159"/>
      <c r="WVV1" s="159"/>
      <c r="WVW1" s="159"/>
      <c r="WVX1" s="159"/>
      <c r="WXI1" s="159"/>
      <c r="WXW1" s="159"/>
      <c r="WXX1" s="159"/>
      <c r="WXY1" s="159"/>
      <c r="WXZ1" s="159"/>
      <c r="WYA1" s="159"/>
      <c r="WYB1" s="159"/>
      <c r="WYC1" s="159"/>
      <c r="WYD1" s="159"/>
      <c r="WYE1" s="159"/>
      <c r="WYF1" s="159"/>
      <c r="WYG1" s="159"/>
      <c r="WYH1" s="159"/>
      <c r="WYI1" s="159"/>
      <c r="WYJ1" s="159"/>
      <c r="WYK1" s="159"/>
      <c r="WYL1" s="159"/>
      <c r="WYM1" s="159"/>
      <c r="WYN1" s="159"/>
      <c r="WYO1" s="159"/>
      <c r="WYP1" s="159"/>
      <c r="WYQ1" s="159"/>
      <c r="WYR1" s="159"/>
      <c r="WYS1" s="159"/>
      <c r="WYT1" s="159"/>
      <c r="WYU1" s="159"/>
      <c r="WYV1" s="159"/>
      <c r="WYW1" s="159"/>
      <c r="WYX1" s="159"/>
      <c r="WYY1" s="159"/>
      <c r="WYZ1" s="159"/>
      <c r="WZA1" s="159"/>
      <c r="WZB1" s="159"/>
      <c r="WZC1" s="159"/>
      <c r="WZD1" s="159"/>
      <c r="WZE1" s="159"/>
      <c r="WZF1" s="159"/>
      <c r="WZG1" s="159"/>
      <c r="WZH1" s="159"/>
      <c r="WZI1" s="159"/>
      <c r="WZJ1" s="159"/>
      <c r="WZK1" s="159"/>
      <c r="WZL1" s="159"/>
      <c r="WZM1" s="159"/>
      <c r="WZN1" s="159"/>
      <c r="WZO1" s="159"/>
      <c r="WZP1" s="159"/>
      <c r="WZQ1" s="159"/>
      <c r="WZR1" s="159"/>
      <c r="WZS1" s="159"/>
      <c r="WZT1" s="159"/>
      <c r="WZU1" s="159"/>
      <c r="WZV1" s="159"/>
      <c r="WZW1" s="159"/>
      <c r="WZX1" s="159"/>
      <c r="WZY1" s="159"/>
      <c r="WZZ1" s="159"/>
      <c r="XAA1" s="159"/>
      <c r="XAB1" s="159"/>
      <c r="XAC1" s="159"/>
      <c r="XAD1" s="159"/>
      <c r="XAE1" s="159"/>
      <c r="XAF1" s="159"/>
      <c r="XAG1" s="159"/>
      <c r="XAH1" s="159"/>
      <c r="XAI1" s="159"/>
      <c r="XAJ1" s="159"/>
      <c r="XAK1" s="159"/>
      <c r="XAL1" s="159"/>
      <c r="XAM1" s="159"/>
      <c r="XAN1" s="159"/>
      <c r="XAO1" s="159"/>
      <c r="XAP1" s="159"/>
      <c r="XAQ1" s="159"/>
      <c r="XAR1" s="159"/>
      <c r="XAS1" s="159"/>
      <c r="XAT1" s="159"/>
      <c r="XAU1" s="159"/>
      <c r="XAV1" s="159"/>
      <c r="XAW1" s="159"/>
      <c r="XAX1" s="159"/>
      <c r="XAY1" s="159"/>
      <c r="XAZ1" s="159"/>
      <c r="XBA1" s="159"/>
      <c r="XBB1" s="159"/>
      <c r="XBC1" s="159"/>
      <c r="XBD1" s="159"/>
      <c r="XBE1" s="159"/>
      <c r="XBF1" s="159"/>
      <c r="XBG1" s="159"/>
      <c r="XBH1" s="159"/>
      <c r="XBI1" s="159"/>
      <c r="XBJ1" s="159"/>
      <c r="XBK1" s="159"/>
      <c r="XBL1" s="159"/>
      <c r="XBM1" s="159"/>
      <c r="XBN1" s="159"/>
      <c r="XBO1" s="159"/>
      <c r="XBP1" s="159"/>
      <c r="XBQ1" s="159"/>
      <c r="XBR1" s="159"/>
      <c r="XBS1" s="159"/>
      <c r="XBT1" s="159"/>
      <c r="XBU1" s="159"/>
      <c r="XBV1" s="159"/>
      <c r="XBW1" s="159"/>
      <c r="XBX1" s="159"/>
      <c r="XBY1" s="159"/>
      <c r="XBZ1" s="159"/>
      <c r="XCA1" s="159"/>
      <c r="XCB1" s="159"/>
      <c r="XCC1" s="159"/>
      <c r="XCD1" s="159"/>
      <c r="XCE1" s="159"/>
      <c r="XCF1" s="159"/>
      <c r="XCG1" s="159"/>
      <c r="XCH1" s="159"/>
      <c r="XCI1" s="159"/>
      <c r="XCJ1" s="159"/>
      <c r="XCK1" s="159"/>
      <c r="XCL1" s="159"/>
      <c r="XCM1" s="159"/>
      <c r="XCN1" s="159"/>
      <c r="XCO1" s="159"/>
      <c r="XCP1" s="159"/>
      <c r="XCQ1" s="159"/>
      <c r="XCR1" s="159"/>
      <c r="XCS1" s="159"/>
      <c r="XCT1" s="159"/>
      <c r="XCU1" s="159"/>
      <c r="XCV1" s="159"/>
      <c r="XCW1" s="159"/>
      <c r="XCX1" s="159"/>
      <c r="XCY1" s="159"/>
      <c r="XCZ1" s="159"/>
      <c r="XDA1" s="159"/>
      <c r="XDB1" s="159"/>
      <c r="XDC1" s="159"/>
      <c r="XDD1" s="159"/>
      <c r="XDE1" s="159"/>
      <c r="XDF1" s="159"/>
      <c r="XDG1" s="159"/>
      <c r="XDH1" s="159"/>
      <c r="XDI1" s="159"/>
      <c r="XDJ1" s="159"/>
      <c r="XDK1" s="159"/>
      <c r="XDL1" s="159"/>
      <c r="XDM1" s="159"/>
      <c r="XDN1" s="159"/>
      <c r="XDO1" s="159"/>
      <c r="XDP1" s="159"/>
      <c r="XDQ1" s="159"/>
      <c r="XDR1" s="159"/>
      <c r="XDS1" s="159"/>
      <c r="XDT1" s="159"/>
      <c r="XDU1" s="159"/>
      <c r="XDV1" s="159"/>
      <c r="XDW1" s="159"/>
      <c r="XDX1" s="159"/>
      <c r="XDY1" s="159"/>
      <c r="XDZ1" s="159"/>
      <c r="XEA1" s="159"/>
      <c r="XEB1" s="159"/>
      <c r="XEC1" s="159"/>
      <c r="XED1" s="159"/>
      <c r="XEE1" s="159"/>
      <c r="XEF1" s="159"/>
      <c r="XEG1" s="159"/>
      <c r="XEH1" s="159"/>
      <c r="XEI1" s="159"/>
      <c r="XEJ1" s="159"/>
      <c r="XEK1" s="159"/>
      <c r="XEL1" s="159"/>
      <c r="XEM1" s="159"/>
      <c r="XEN1" s="159"/>
      <c r="XEO1" s="159"/>
      <c r="XEP1" s="159"/>
      <c r="XEQ1" s="159"/>
      <c r="XER1" s="159"/>
      <c r="XES1" s="159"/>
      <c r="XET1" s="159"/>
      <c r="XEU1" s="159"/>
      <c r="XEV1" s="159"/>
      <c r="XEW1" s="159"/>
      <c r="XEX1" s="159"/>
      <c r="XEY1" s="159"/>
      <c r="XEZ1" s="159"/>
      <c r="XFA1" s="159"/>
      <c r="XFB1" s="159"/>
      <c r="XFC1" s="159"/>
      <c r="XFD1" s="159"/>
    </row>
    <row r="2" spans="1:16384">
      <c r="A2" s="41"/>
      <c r="B2" s="114"/>
      <c r="C2" s="114"/>
      <c r="D2" s="42"/>
      <c r="E2" s="43"/>
      <c r="F2" s="514">
        <v>45399</v>
      </c>
      <c r="G2" s="513"/>
      <c r="H2" s="472"/>
      <c r="I2" s="514">
        <v>45354</v>
      </c>
      <c r="J2" s="513"/>
      <c r="K2" s="472"/>
      <c r="L2" s="514">
        <v>45324</v>
      </c>
      <c r="M2" s="513"/>
      <c r="N2" s="472"/>
      <c r="O2" s="514">
        <v>45294</v>
      </c>
      <c r="P2" s="513"/>
      <c r="Q2" s="472"/>
      <c r="R2" s="514">
        <v>45292</v>
      </c>
      <c r="S2" s="513"/>
      <c r="T2" s="472"/>
      <c r="U2" s="224" t="s">
        <v>222</v>
      </c>
      <c r="V2" s="140">
        <v>2024</v>
      </c>
      <c r="W2" s="518">
        <v>45264</v>
      </c>
      <c r="X2" s="520"/>
      <c r="Y2" s="518">
        <v>45263</v>
      </c>
      <c r="Z2" s="519"/>
      <c r="AA2" s="520"/>
      <c r="AB2" s="518">
        <v>45233</v>
      </c>
      <c r="AC2" s="519"/>
      <c r="AD2" s="520"/>
      <c r="AE2" s="518">
        <v>45202</v>
      </c>
      <c r="AF2" s="519"/>
      <c r="AG2" s="520"/>
      <c r="AH2" s="518">
        <v>45172</v>
      </c>
      <c r="AI2" s="519"/>
      <c r="AJ2" s="520"/>
      <c r="AK2" s="515">
        <v>45141</v>
      </c>
      <c r="AL2" s="516"/>
      <c r="AM2" s="517"/>
      <c r="AN2" s="515">
        <v>45110</v>
      </c>
      <c r="AO2" s="516"/>
      <c r="AP2" s="517"/>
      <c r="AQ2" s="518">
        <v>45080</v>
      </c>
      <c r="AR2" s="519"/>
      <c r="AS2" s="520"/>
      <c r="AT2" s="518">
        <v>45049</v>
      </c>
      <c r="AU2" s="520"/>
      <c r="AV2" s="518">
        <v>45019</v>
      </c>
      <c r="AW2" s="519"/>
      <c r="AX2" s="520"/>
      <c r="AY2" s="518">
        <v>44988</v>
      </c>
      <c r="AZ2" s="520"/>
      <c r="BA2" s="518">
        <v>44960</v>
      </c>
      <c r="BB2" s="519"/>
      <c r="BC2" s="520"/>
      <c r="BD2" s="518">
        <v>44929</v>
      </c>
      <c r="BE2" s="519"/>
      <c r="BF2" s="520"/>
      <c r="BG2" s="140">
        <v>2023</v>
      </c>
      <c r="BH2" s="523" t="s">
        <v>43</v>
      </c>
      <c r="BI2" s="520"/>
      <c r="BJ2" s="518">
        <v>44868</v>
      </c>
      <c r="BK2" s="519"/>
      <c r="BL2" s="520"/>
      <c r="BM2" s="518">
        <v>44837</v>
      </c>
      <c r="BN2" s="519"/>
      <c r="BO2" s="520"/>
      <c r="BP2" s="518">
        <v>44807</v>
      </c>
      <c r="BQ2" s="520"/>
      <c r="BR2" s="521">
        <v>44776</v>
      </c>
      <c r="BS2" s="522"/>
      <c r="BT2" s="522"/>
      <c r="BU2" s="141">
        <v>2022</v>
      </c>
      <c r="BV2" s="142"/>
      <c r="BW2" s="142"/>
    </row>
    <row r="3" spans="1:16384" s="112" customFormat="1" ht="20.100000000000001" customHeight="1">
      <c r="A3" s="46" t="s">
        <v>44</v>
      </c>
      <c r="B3" s="46" t="s">
        <v>190</v>
      </c>
      <c r="C3" s="46" t="s">
        <v>159</v>
      </c>
      <c r="D3" s="47" t="s">
        <v>45</v>
      </c>
      <c r="E3" s="34"/>
      <c r="F3" s="145">
        <v>1</v>
      </c>
      <c r="G3" s="145">
        <v>2</v>
      </c>
      <c r="H3" s="145">
        <v>3</v>
      </c>
      <c r="I3" s="145">
        <v>1</v>
      </c>
      <c r="J3" s="145">
        <v>2</v>
      </c>
      <c r="K3" s="145">
        <v>3</v>
      </c>
      <c r="L3" s="120">
        <v>1</v>
      </c>
      <c r="M3" s="121">
        <v>2</v>
      </c>
      <c r="N3" s="122">
        <v>3</v>
      </c>
      <c r="O3" s="120">
        <v>1</v>
      </c>
      <c r="P3" s="121">
        <v>2</v>
      </c>
      <c r="Q3" s="122">
        <v>3</v>
      </c>
      <c r="R3" s="120">
        <v>1</v>
      </c>
      <c r="S3" s="121">
        <v>2</v>
      </c>
      <c r="T3" s="135">
        <v>3</v>
      </c>
      <c r="U3" s="226"/>
      <c r="V3" s="46"/>
      <c r="W3" s="34">
        <v>1</v>
      </c>
      <c r="X3" s="34">
        <v>2</v>
      </c>
      <c r="Y3" s="34">
        <v>1</v>
      </c>
      <c r="Z3" s="34">
        <v>2</v>
      </c>
      <c r="AA3" s="34">
        <v>3</v>
      </c>
      <c r="AB3" s="34">
        <v>1</v>
      </c>
      <c r="AC3" s="34">
        <v>2</v>
      </c>
      <c r="AD3" s="34">
        <v>3</v>
      </c>
      <c r="AE3" s="34">
        <v>1</v>
      </c>
      <c r="AF3" s="34">
        <v>2</v>
      </c>
      <c r="AG3" s="34">
        <v>3</v>
      </c>
      <c r="AH3" s="34">
        <v>1</v>
      </c>
      <c r="AI3" s="34">
        <v>2</v>
      </c>
      <c r="AJ3" s="34">
        <v>3</v>
      </c>
      <c r="AK3" s="34">
        <v>1</v>
      </c>
      <c r="AL3" s="34">
        <v>2</v>
      </c>
      <c r="AM3" s="34">
        <v>3</v>
      </c>
      <c r="AN3" s="34">
        <v>1</v>
      </c>
      <c r="AO3" s="34">
        <v>2</v>
      </c>
      <c r="AP3" s="34">
        <v>3</v>
      </c>
      <c r="AQ3" s="34">
        <v>1</v>
      </c>
      <c r="AR3" s="34">
        <v>2</v>
      </c>
      <c r="AS3" s="34">
        <v>3</v>
      </c>
      <c r="AT3" s="34">
        <v>1</v>
      </c>
      <c r="AU3" s="34">
        <v>2</v>
      </c>
      <c r="AV3" s="34">
        <v>1</v>
      </c>
      <c r="AW3" s="34">
        <v>2</v>
      </c>
      <c r="AX3" s="34">
        <v>3</v>
      </c>
      <c r="AY3" s="34">
        <v>1</v>
      </c>
      <c r="AZ3" s="34">
        <v>2</v>
      </c>
      <c r="BA3" s="34">
        <v>1</v>
      </c>
      <c r="BB3" s="34">
        <v>2</v>
      </c>
      <c r="BC3" s="34">
        <v>3</v>
      </c>
      <c r="BD3" s="46">
        <v>1</v>
      </c>
      <c r="BE3" s="46">
        <v>2</v>
      </c>
      <c r="BF3" s="46">
        <v>3</v>
      </c>
      <c r="BG3" s="46"/>
      <c r="BH3" s="34">
        <v>1</v>
      </c>
      <c r="BI3" s="34">
        <v>2</v>
      </c>
      <c r="BJ3" s="34">
        <v>1</v>
      </c>
      <c r="BK3" s="34">
        <v>2</v>
      </c>
      <c r="BL3" s="34">
        <v>3</v>
      </c>
      <c r="BM3" s="34">
        <v>1</v>
      </c>
      <c r="BN3" s="34">
        <v>2</v>
      </c>
      <c r="BO3" s="34">
        <v>3</v>
      </c>
      <c r="BP3" s="34">
        <v>1</v>
      </c>
      <c r="BQ3" s="34">
        <v>2</v>
      </c>
      <c r="BR3" s="34">
        <v>1</v>
      </c>
      <c r="BS3" s="34">
        <v>2</v>
      </c>
      <c r="BT3" s="34">
        <v>3</v>
      </c>
      <c r="BU3" s="145"/>
      <c r="BV3" s="119" t="s">
        <v>46</v>
      </c>
      <c r="BW3" s="118" t="s">
        <v>47</v>
      </c>
      <c r="BX3" s="161" t="s">
        <v>200</v>
      </c>
      <c r="BY3" s="162" t="s">
        <v>201</v>
      </c>
    </row>
    <row r="4" spans="1:16384">
      <c r="A4" s="48" t="s">
        <v>48</v>
      </c>
      <c r="B4" s="48" t="s">
        <v>193</v>
      </c>
      <c r="C4" s="48"/>
      <c r="D4" s="49">
        <v>10</v>
      </c>
      <c r="E4" s="50"/>
      <c r="F4" s="153"/>
      <c r="G4" s="153"/>
      <c r="H4" s="153"/>
      <c r="I4" s="153"/>
      <c r="J4" s="153"/>
      <c r="K4" s="153"/>
      <c r="L4" s="123"/>
      <c r="M4" s="124"/>
      <c r="N4" s="125"/>
      <c r="O4" s="123"/>
      <c r="P4" s="124"/>
      <c r="Q4" s="125"/>
      <c r="R4" s="123"/>
      <c r="S4" s="124"/>
      <c r="T4" s="136"/>
      <c r="U4" s="222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1"/>
      <c r="AL4" s="51"/>
      <c r="AM4" s="51"/>
      <c r="AN4" s="50">
        <f>108+10</f>
        <v>118</v>
      </c>
      <c r="AO4" s="50">
        <f>110+10</f>
        <v>120</v>
      </c>
      <c r="AP4" s="50">
        <f>98+10</f>
        <v>108</v>
      </c>
      <c r="AQ4" s="52"/>
      <c r="AR4" s="52"/>
      <c r="AS4" s="52"/>
      <c r="AT4" s="53"/>
      <c r="AU4" s="53"/>
      <c r="AV4" s="53"/>
      <c r="AW4" s="53"/>
      <c r="AX4" s="53"/>
      <c r="AY4" s="50"/>
      <c r="AZ4" s="50"/>
      <c r="BA4" s="54">
        <v>117</v>
      </c>
      <c r="BB4" s="54">
        <v>103</v>
      </c>
      <c r="BC4" s="54">
        <v>151</v>
      </c>
      <c r="BD4" s="50">
        <v>108</v>
      </c>
      <c r="BE4" s="50">
        <v>101</v>
      </c>
      <c r="BF4" s="50">
        <v>140</v>
      </c>
      <c r="BG4" s="50"/>
      <c r="BH4" s="50">
        <v>131</v>
      </c>
      <c r="BI4" s="50">
        <v>100</v>
      </c>
      <c r="BJ4" s="50"/>
      <c r="BK4" s="50"/>
      <c r="BL4" s="50"/>
      <c r="BM4" s="50"/>
      <c r="BN4" s="50"/>
      <c r="BO4" s="50"/>
      <c r="BP4" s="50">
        <v>119</v>
      </c>
      <c r="BQ4" s="50">
        <v>85</v>
      </c>
      <c r="BR4" s="50">
        <v>137</v>
      </c>
      <c r="BS4" s="50">
        <v>102</v>
      </c>
      <c r="BT4" s="50">
        <v>103</v>
      </c>
      <c r="BU4" s="146"/>
      <c r="BV4" s="143" t="e">
        <f>#REF!/3</f>
        <v>#REF!</v>
      </c>
      <c r="BW4" s="143" t="e">
        <f>IF(#REF!&gt;10,SUM(INDEX(((E4:BU4&lt;&gt;"")*COLUMN(E4:BU4)&lt;LARGE(INDEX((E4:BU4&lt;&gt;"")*COLUMN(E4:BU4),),#REF!-10))*E4:BU4,))/10,#REF!)</f>
        <v>#REF!</v>
      </c>
      <c r="BX4"/>
      <c r="BY4"/>
    </row>
    <row r="5" spans="1:16384" ht="20.100000000000001" customHeight="1">
      <c r="A5" s="55" t="s">
        <v>80</v>
      </c>
      <c r="B5" s="55" t="s">
        <v>191</v>
      </c>
      <c r="C5" s="55" t="s">
        <v>160</v>
      </c>
      <c r="D5" s="18"/>
      <c r="E5" s="18"/>
      <c r="F5" s="154">
        <v>181</v>
      </c>
      <c r="G5" s="154">
        <v>168</v>
      </c>
      <c r="H5" s="154">
        <v>156</v>
      </c>
      <c r="I5" s="154">
        <v>190</v>
      </c>
      <c r="J5" s="154">
        <v>170</v>
      </c>
      <c r="K5" s="156">
        <v>231</v>
      </c>
      <c r="L5" s="129"/>
      <c r="M5" s="130"/>
      <c r="N5" s="131"/>
      <c r="O5" s="129">
        <v>150</v>
      </c>
      <c r="P5" s="130">
        <v>174</v>
      </c>
      <c r="Q5" s="131">
        <v>181</v>
      </c>
      <c r="R5" s="129"/>
      <c r="S5" s="130"/>
      <c r="T5" s="138"/>
      <c r="U5" s="227">
        <f>MAX(F5:T5)</f>
        <v>231</v>
      </c>
      <c r="V5" s="17">
        <f>IFERROR(SUM(E5:T5)/COUNT(E5:T5),"-")</f>
        <v>177.88888888888889</v>
      </c>
      <c r="W5" s="18"/>
      <c r="X5" s="18"/>
      <c r="Y5" s="18">
        <v>152</v>
      </c>
      <c r="Z5" s="18">
        <v>143</v>
      </c>
      <c r="AA5" s="18">
        <v>156</v>
      </c>
      <c r="AB5" s="18">
        <v>145</v>
      </c>
      <c r="AC5" s="18">
        <v>171</v>
      </c>
      <c r="AD5" s="18">
        <v>182</v>
      </c>
      <c r="AE5" s="28">
        <v>137</v>
      </c>
      <c r="AF5" s="28">
        <v>180</v>
      </c>
      <c r="AG5" s="28">
        <v>222</v>
      </c>
      <c r="AH5" s="18">
        <v>144</v>
      </c>
      <c r="AI5" s="18">
        <v>130</v>
      </c>
      <c r="AJ5" s="18">
        <v>172</v>
      </c>
      <c r="AK5" s="18">
        <v>142</v>
      </c>
      <c r="AL5" s="18">
        <v>182</v>
      </c>
      <c r="AM5" s="18">
        <v>173</v>
      </c>
      <c r="AN5" s="18">
        <v>158</v>
      </c>
      <c r="AO5" s="18">
        <v>169</v>
      </c>
      <c r="AP5" s="18">
        <v>188</v>
      </c>
      <c r="AQ5" s="58">
        <v>161</v>
      </c>
      <c r="AR5" s="58">
        <v>186</v>
      </c>
      <c r="AS5" s="58">
        <v>157</v>
      </c>
      <c r="AT5" s="18"/>
      <c r="AU5" s="18"/>
      <c r="AV5" s="18">
        <v>167</v>
      </c>
      <c r="AW5" s="18">
        <v>191</v>
      </c>
      <c r="AX5" s="18">
        <v>184</v>
      </c>
      <c r="AY5" s="18">
        <v>181</v>
      </c>
      <c r="AZ5" s="18">
        <v>147</v>
      </c>
      <c r="BA5" s="18"/>
      <c r="BB5" s="18"/>
      <c r="BC5" s="18"/>
      <c r="BD5" s="18">
        <v>171</v>
      </c>
      <c r="BE5" s="20">
        <v>204</v>
      </c>
      <c r="BF5" s="18">
        <v>163</v>
      </c>
      <c r="BG5" s="5"/>
      <c r="BH5" s="18">
        <v>134</v>
      </c>
      <c r="BI5" s="18">
        <v>130</v>
      </c>
      <c r="BJ5" s="18">
        <v>155</v>
      </c>
      <c r="BK5" s="18">
        <v>139</v>
      </c>
      <c r="BL5" s="18">
        <v>155</v>
      </c>
      <c r="BM5" s="18"/>
      <c r="BN5" s="18"/>
      <c r="BO5" s="18"/>
      <c r="BP5" s="18">
        <v>147</v>
      </c>
      <c r="BQ5" s="18">
        <v>146</v>
      </c>
      <c r="BR5" s="20">
        <v>211</v>
      </c>
      <c r="BS5" s="18">
        <v>171</v>
      </c>
      <c r="BT5" s="18">
        <v>176</v>
      </c>
      <c r="BU5" s="147"/>
      <c r="BV5" s="144">
        <f>IFERROR(SUM($F5:$H5)/3,0)</f>
        <v>168.33333333333334</v>
      </c>
      <c r="BW5" s="144">
        <f>IFERROR(IF(COUNT($E5:BU5)&gt;10,SUM(INDEX(((E5:BU5&lt;&gt;"")*COLUMN(E5:BU5)&lt;LARGE(INDEX((E5:BU5&lt;&gt;"")*COLUMN(E5:BU5),),COUNT($E5:BU5)-10))*E5:BU5,))/10,SUM($E5:BT5)/COUNT($E5:BT5)),0)</f>
        <v>183.2</v>
      </c>
      <c r="BX5" s="163">
        <f>MAX(E5:T5)</f>
        <v>231</v>
      </c>
      <c r="BY5" s="163">
        <f>AVERAGE(I5:V5)</f>
        <v>188.11111111111111</v>
      </c>
    </row>
    <row r="6" spans="1:16384" ht="20.100000000000001" customHeight="1">
      <c r="A6" s="55" t="s">
        <v>81</v>
      </c>
      <c r="B6" s="55" t="s">
        <v>191</v>
      </c>
      <c r="C6" s="55" t="s">
        <v>160</v>
      </c>
      <c r="D6" s="18"/>
      <c r="E6" s="18"/>
      <c r="F6" s="154">
        <v>221</v>
      </c>
      <c r="G6" s="154">
        <v>192</v>
      </c>
      <c r="H6" s="154">
        <v>188</v>
      </c>
      <c r="I6" s="154">
        <v>162</v>
      </c>
      <c r="J6" s="154">
        <v>213</v>
      </c>
      <c r="K6" s="154">
        <v>178</v>
      </c>
      <c r="L6" s="129">
        <v>180</v>
      </c>
      <c r="M6" s="130">
        <v>147</v>
      </c>
      <c r="N6" s="131">
        <v>128</v>
      </c>
      <c r="O6" s="129">
        <v>179</v>
      </c>
      <c r="P6" s="130">
        <v>157</v>
      </c>
      <c r="Q6" s="131">
        <v>155</v>
      </c>
      <c r="R6" s="129">
        <v>147</v>
      </c>
      <c r="S6" s="130">
        <v>165</v>
      </c>
      <c r="T6" s="138">
        <v>181</v>
      </c>
      <c r="U6" s="227">
        <f t="shared" ref="U6:U38" si="2">MAX(F6:T6)</f>
        <v>221</v>
      </c>
      <c r="V6" s="17">
        <f t="shared" ref="V6:V8" si="3">IFERROR(SUM(E6:T6)/COUNT(E6:T6),"-")</f>
        <v>172.86666666666667</v>
      </c>
      <c r="W6" s="18"/>
      <c r="X6" s="18"/>
      <c r="Y6" s="18">
        <v>184</v>
      </c>
      <c r="Z6" s="18">
        <v>159</v>
      </c>
      <c r="AA6" s="18">
        <v>162</v>
      </c>
      <c r="AB6" s="18">
        <v>136</v>
      </c>
      <c r="AC6" s="18">
        <v>154</v>
      </c>
      <c r="AD6" s="18">
        <v>155</v>
      </c>
      <c r="AE6" s="28">
        <v>176</v>
      </c>
      <c r="AF6" s="28">
        <v>215</v>
      </c>
      <c r="AG6" s="28">
        <v>160</v>
      </c>
      <c r="AH6" s="18">
        <v>134</v>
      </c>
      <c r="AI6" s="18">
        <v>179</v>
      </c>
      <c r="AJ6" s="18">
        <v>157</v>
      </c>
      <c r="AK6" s="18">
        <v>158</v>
      </c>
      <c r="AL6" s="20">
        <v>215</v>
      </c>
      <c r="AM6" s="18">
        <v>157</v>
      </c>
      <c r="AN6" s="18">
        <v>194</v>
      </c>
      <c r="AO6" s="18">
        <v>152</v>
      </c>
      <c r="AP6" s="18">
        <v>192</v>
      </c>
      <c r="AQ6" s="58">
        <v>198</v>
      </c>
      <c r="AR6" s="58">
        <v>182</v>
      </c>
      <c r="AS6" s="58">
        <v>133</v>
      </c>
      <c r="AT6" s="18">
        <v>114</v>
      </c>
      <c r="AU6" s="18">
        <v>159</v>
      </c>
      <c r="AV6" s="20">
        <v>229</v>
      </c>
      <c r="AW6" s="18">
        <v>114</v>
      </c>
      <c r="AX6" s="18">
        <v>161</v>
      </c>
      <c r="AY6" s="18">
        <v>179</v>
      </c>
      <c r="AZ6" s="18">
        <v>95</v>
      </c>
      <c r="BA6" s="18">
        <v>176</v>
      </c>
      <c r="BB6" s="18">
        <v>158</v>
      </c>
      <c r="BC6" s="18">
        <v>166</v>
      </c>
      <c r="BD6" s="18">
        <v>138</v>
      </c>
      <c r="BE6" s="18">
        <v>115</v>
      </c>
      <c r="BF6" s="18">
        <v>152</v>
      </c>
      <c r="BG6" s="5"/>
      <c r="BH6" s="18"/>
      <c r="BI6" s="18"/>
      <c r="BJ6" s="18">
        <v>150</v>
      </c>
      <c r="BK6" s="18">
        <v>150</v>
      </c>
      <c r="BL6" s="18">
        <v>142</v>
      </c>
      <c r="BM6" s="18">
        <v>139</v>
      </c>
      <c r="BN6" s="18">
        <v>172</v>
      </c>
      <c r="BO6" s="20">
        <v>205</v>
      </c>
      <c r="BP6" s="18">
        <v>144</v>
      </c>
      <c r="BQ6" s="18">
        <v>168</v>
      </c>
      <c r="BR6" s="18"/>
      <c r="BS6" s="18"/>
      <c r="BT6" s="18"/>
      <c r="BU6" s="147"/>
      <c r="BV6" s="144">
        <f>IFERROR(SUM($F6:$H6)/3,0)</f>
        <v>200.33333333333334</v>
      </c>
      <c r="BW6" s="144">
        <f>IFERROR(IF(COUNT($E6:BU6)&gt;10,SUM(INDEX(((E6:BU6&lt;&gt;"")*COLUMN(E6:BU6)&lt;LARGE(INDEX((E6:BU6&lt;&gt;"")*COLUMN(E6:BU6),),COUNT($E6:BU6)-10))*E6:BU6,))/10,SUM($E6:BT6)/COUNT($E6:BT6)),0)</f>
        <v>178.8</v>
      </c>
      <c r="BX6" s="163">
        <f>MAX(E6:T6)</f>
        <v>221</v>
      </c>
      <c r="BY6" s="163">
        <f>AVERAGE(I6:V6)</f>
        <v>170.41904761904763</v>
      </c>
    </row>
    <row r="7" spans="1:16384" ht="20.100000000000001" customHeight="1">
      <c r="A7" s="55" t="s">
        <v>82</v>
      </c>
      <c r="B7" s="55" t="s">
        <v>191</v>
      </c>
      <c r="C7" s="55" t="s">
        <v>160</v>
      </c>
      <c r="D7" s="18"/>
      <c r="E7" s="18"/>
      <c r="F7" s="154">
        <v>110</v>
      </c>
      <c r="G7" s="154">
        <v>157</v>
      </c>
      <c r="H7" s="154">
        <v>191</v>
      </c>
      <c r="I7" s="154">
        <v>169</v>
      </c>
      <c r="J7" s="154">
        <v>135</v>
      </c>
      <c r="K7" s="154">
        <v>217</v>
      </c>
      <c r="L7" s="129">
        <v>158</v>
      </c>
      <c r="M7" s="130">
        <v>148</v>
      </c>
      <c r="N7" s="131">
        <v>127</v>
      </c>
      <c r="O7" s="129">
        <v>180</v>
      </c>
      <c r="P7" s="130">
        <v>227</v>
      </c>
      <c r="Q7" s="131">
        <v>160</v>
      </c>
      <c r="R7" s="129">
        <v>159</v>
      </c>
      <c r="S7" s="130">
        <v>130</v>
      </c>
      <c r="T7" s="138">
        <v>164</v>
      </c>
      <c r="U7" s="227">
        <f t="shared" si="2"/>
        <v>227</v>
      </c>
      <c r="V7" s="17">
        <f t="shared" si="3"/>
        <v>162.13333333333333</v>
      </c>
      <c r="W7" s="18"/>
      <c r="X7" s="18"/>
      <c r="Y7" s="18">
        <v>137</v>
      </c>
      <c r="Z7" s="18">
        <v>169</v>
      </c>
      <c r="AA7" s="18">
        <v>156</v>
      </c>
      <c r="AB7" s="18"/>
      <c r="AC7" s="18"/>
      <c r="AD7" s="18"/>
      <c r="AE7" s="18"/>
      <c r="AF7" s="18"/>
      <c r="AG7" s="18"/>
      <c r="AH7" s="18">
        <v>140</v>
      </c>
      <c r="AI7" s="18">
        <v>198</v>
      </c>
      <c r="AJ7" s="18">
        <v>106</v>
      </c>
      <c r="AK7" s="18">
        <v>140</v>
      </c>
      <c r="AL7" s="18">
        <v>168</v>
      </c>
      <c r="AM7" s="18">
        <v>197</v>
      </c>
      <c r="AN7" s="18">
        <v>153</v>
      </c>
      <c r="AO7" s="18">
        <v>150</v>
      </c>
      <c r="AP7" s="18">
        <v>145</v>
      </c>
      <c r="AQ7" s="58">
        <v>182</v>
      </c>
      <c r="AR7" s="58">
        <v>151</v>
      </c>
      <c r="AS7" s="58">
        <v>162</v>
      </c>
      <c r="AT7" s="18">
        <v>179</v>
      </c>
      <c r="AU7" s="18">
        <v>170</v>
      </c>
      <c r="AV7" s="20">
        <v>203</v>
      </c>
      <c r="AW7" s="18">
        <v>193</v>
      </c>
      <c r="AX7" s="18">
        <v>155</v>
      </c>
      <c r="AY7" s="18">
        <v>146</v>
      </c>
      <c r="AZ7" s="18">
        <v>157</v>
      </c>
      <c r="BA7" s="18">
        <v>160</v>
      </c>
      <c r="BB7" s="18">
        <v>117</v>
      </c>
      <c r="BC7" s="18">
        <v>155</v>
      </c>
      <c r="BD7" s="18">
        <v>114</v>
      </c>
      <c r="BE7" s="18">
        <v>189</v>
      </c>
      <c r="BF7" s="18">
        <v>123</v>
      </c>
      <c r="BG7" s="5"/>
      <c r="BH7" s="18">
        <v>101</v>
      </c>
      <c r="BI7" s="18">
        <v>105</v>
      </c>
      <c r="BJ7" s="18"/>
      <c r="BK7" s="18"/>
      <c r="BL7" s="18"/>
      <c r="BM7" s="18">
        <v>120</v>
      </c>
      <c r="BN7" s="18">
        <v>173</v>
      </c>
      <c r="BO7" s="18">
        <v>117</v>
      </c>
      <c r="BP7" s="18"/>
      <c r="BQ7" s="18"/>
      <c r="BR7" s="18">
        <v>97</v>
      </c>
      <c r="BS7" s="18">
        <v>91</v>
      </c>
      <c r="BT7" s="18">
        <v>166</v>
      </c>
      <c r="BU7" s="147"/>
      <c r="BV7" s="144">
        <f>IFERROR(SUM($F7:$H7)/3,0)</f>
        <v>152.66666666666666</v>
      </c>
      <c r="BW7" s="144">
        <f>IFERROR(IF(COUNT($E7:BU7)&gt;10,SUM(INDEX(((E7:BU7&lt;&gt;"")*COLUMN(E7:BU7)&lt;LARGE(INDEX((E7:BU7&lt;&gt;"")*COLUMN(E7:BU7),),COUNT($E7:BU7)-10))*E7:BU7,))/10,SUM($E7:BT7)/COUNT($E7:BT7)),0)</f>
        <v>159.19999999999999</v>
      </c>
      <c r="BX7" s="163">
        <f>MAX(E7:T7)</f>
        <v>227</v>
      </c>
      <c r="BY7" s="163">
        <f>AVERAGE(I7:V7)</f>
        <v>168.79523809523809</v>
      </c>
    </row>
    <row r="8" spans="1:16384">
      <c r="A8" s="55" t="s">
        <v>58</v>
      </c>
      <c r="B8" s="55" t="s">
        <v>191</v>
      </c>
      <c r="C8" s="55" t="s">
        <v>166</v>
      </c>
      <c r="D8" s="18"/>
      <c r="E8" s="18"/>
      <c r="F8" s="154">
        <v>151</v>
      </c>
      <c r="G8" s="154">
        <v>188</v>
      </c>
      <c r="H8" s="154">
        <v>147</v>
      </c>
      <c r="I8" s="154">
        <v>173</v>
      </c>
      <c r="J8" s="154">
        <v>158</v>
      </c>
      <c r="K8" s="154">
        <v>164</v>
      </c>
      <c r="L8" s="129">
        <v>185</v>
      </c>
      <c r="M8" s="130">
        <v>189</v>
      </c>
      <c r="N8" s="131">
        <v>160</v>
      </c>
      <c r="O8" s="129"/>
      <c r="P8" s="130"/>
      <c r="Q8" s="131"/>
      <c r="R8" s="129"/>
      <c r="S8" s="130"/>
      <c r="T8" s="138"/>
      <c r="U8" s="227">
        <f t="shared" si="2"/>
        <v>189</v>
      </c>
      <c r="V8" s="17">
        <f t="shared" si="3"/>
        <v>168.33333333333334</v>
      </c>
      <c r="W8" s="18">
        <v>224</v>
      </c>
      <c r="X8" s="18">
        <v>134</v>
      </c>
      <c r="Y8" s="18">
        <v>113</v>
      </c>
      <c r="Z8" s="18">
        <v>151</v>
      </c>
      <c r="AA8" s="18">
        <v>127</v>
      </c>
      <c r="AB8" s="18">
        <v>164</v>
      </c>
      <c r="AC8" s="18">
        <v>157</v>
      </c>
      <c r="AD8" s="18">
        <v>147</v>
      </c>
      <c r="AE8" s="18"/>
      <c r="AF8" s="18"/>
      <c r="AG8" s="18"/>
      <c r="AH8" s="18">
        <v>148</v>
      </c>
      <c r="AI8" s="18">
        <v>151</v>
      </c>
      <c r="AJ8" s="18">
        <v>146</v>
      </c>
      <c r="AK8" s="18">
        <v>148</v>
      </c>
      <c r="AL8" s="18">
        <v>129</v>
      </c>
      <c r="AM8" s="18">
        <v>171</v>
      </c>
      <c r="AN8" s="18">
        <v>163</v>
      </c>
      <c r="AO8" s="18">
        <v>143</v>
      </c>
      <c r="AP8" s="18">
        <v>141</v>
      </c>
      <c r="AQ8" s="58">
        <v>158</v>
      </c>
      <c r="AR8" s="58">
        <v>129</v>
      </c>
      <c r="AS8" s="58">
        <v>152</v>
      </c>
      <c r="AT8" s="18"/>
      <c r="AU8" s="18"/>
      <c r="AV8" s="18">
        <v>168</v>
      </c>
      <c r="AW8" s="18">
        <v>183</v>
      </c>
      <c r="AX8" s="18">
        <v>193</v>
      </c>
      <c r="AY8" s="18">
        <v>181</v>
      </c>
      <c r="AZ8" s="18">
        <v>185</v>
      </c>
      <c r="BA8" s="18">
        <v>192</v>
      </c>
      <c r="BB8" s="18">
        <v>193</v>
      </c>
      <c r="BC8" s="18">
        <v>165</v>
      </c>
      <c r="BD8" s="18">
        <v>172</v>
      </c>
      <c r="BE8" s="18">
        <v>150</v>
      </c>
      <c r="BF8" s="18">
        <v>175</v>
      </c>
      <c r="BG8" s="5"/>
      <c r="BH8" s="18">
        <v>184</v>
      </c>
      <c r="BI8" s="18">
        <v>179</v>
      </c>
      <c r="BJ8" s="18">
        <v>186</v>
      </c>
      <c r="BK8" s="18">
        <v>141</v>
      </c>
      <c r="BL8" s="18">
        <v>168</v>
      </c>
      <c r="BM8" s="18"/>
      <c r="BN8" s="18"/>
      <c r="BO8" s="18"/>
      <c r="BP8" s="18">
        <v>149</v>
      </c>
      <c r="BQ8" s="18">
        <v>145</v>
      </c>
      <c r="BR8" s="18">
        <v>170</v>
      </c>
      <c r="BS8" s="18">
        <v>132</v>
      </c>
      <c r="BT8" s="18">
        <v>162</v>
      </c>
      <c r="BU8" s="147"/>
      <c r="BV8" s="144">
        <f>IFERROR(SUM($F8:$H8)/3,0)</f>
        <v>162</v>
      </c>
      <c r="BW8" s="144">
        <f>IFERROR(IF(COUNT($E8:BU8)&gt;10,SUM(INDEX(((E8:BU8&lt;&gt;"")*COLUMN(E8:BU8)&lt;LARGE(INDEX((E8:BU8&lt;&gt;"")*COLUMN(E8:BU8),),COUNT($E8:BU8)-10))*E8:BU8,))/10,SUM($E8:BT8)/COUNT($E8:BT8)),0)</f>
        <v>170.4</v>
      </c>
      <c r="BX8" s="163">
        <f>MAX(E8:T8)</f>
        <v>189</v>
      </c>
      <c r="BY8" s="163">
        <f>AVERAGE(I8:V8)</f>
        <v>173.29166666666666</v>
      </c>
    </row>
    <row r="9" spans="1:16384">
      <c r="A9" s="55" t="s">
        <v>53</v>
      </c>
      <c r="B9" s="55" t="s">
        <v>192</v>
      </c>
      <c r="C9" s="55"/>
      <c r="D9" s="18">
        <v>15</v>
      </c>
      <c r="E9" s="14"/>
      <c r="F9" s="42"/>
      <c r="G9" s="42"/>
      <c r="H9" s="42"/>
      <c r="I9" s="42"/>
      <c r="J9" s="42"/>
      <c r="K9" s="42"/>
      <c r="L9" s="126"/>
      <c r="M9" s="127"/>
      <c r="N9" s="128"/>
      <c r="O9" s="126"/>
      <c r="P9" s="127"/>
      <c r="Q9" s="128"/>
      <c r="R9" s="126"/>
      <c r="S9" s="127"/>
      <c r="T9" s="137"/>
      <c r="U9" s="228"/>
      <c r="V9" s="17"/>
      <c r="W9" s="14"/>
      <c r="X9" s="14"/>
      <c r="Y9" s="14"/>
      <c r="Z9" s="14"/>
      <c r="AA9" s="14"/>
      <c r="AB9" s="18">
        <v>139</v>
      </c>
      <c r="AC9" s="18">
        <v>122</v>
      </c>
      <c r="AD9" s="18">
        <v>124</v>
      </c>
      <c r="AE9" s="28">
        <v>140</v>
      </c>
      <c r="AF9" s="28">
        <v>128</v>
      </c>
      <c r="AG9" s="28">
        <v>89</v>
      </c>
      <c r="AH9" s="18">
        <v>95</v>
      </c>
      <c r="AI9" s="18">
        <v>114</v>
      </c>
      <c r="AJ9" s="18">
        <v>109</v>
      </c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5"/>
      <c r="BE9" s="15"/>
      <c r="BF9" s="15"/>
      <c r="BG9" s="5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7"/>
      <c r="BV9" s="144">
        <f>IFERROR(SUM($E9:$N9)/3,0)</f>
        <v>0</v>
      </c>
      <c r="BW9" s="144">
        <f>IFERROR(IF(COUNT($E9:BU9)&gt;10,SUM(INDEX(((E9:BU9&lt;&gt;"")*COLUMN(E9:BU9)&lt;LARGE(INDEX((E9:BU9&lt;&gt;"")*COLUMN(E9:BU9),),COUNT($E9:BU9)-10))*E9:BU9,))/10,SUM($E9:BT9)/COUNT($E9:BT9)),0)</f>
        <v>117.77777777777777</v>
      </c>
      <c r="BX9"/>
      <c r="BY9"/>
    </row>
    <row r="10" spans="1:16384" ht="20.100000000000001" customHeight="1">
      <c r="A10" s="55" t="s">
        <v>54</v>
      </c>
      <c r="B10" s="55" t="s">
        <v>191</v>
      </c>
      <c r="C10" s="55" t="s">
        <v>163</v>
      </c>
      <c r="D10" s="18"/>
      <c r="E10" s="18"/>
      <c r="F10" s="154">
        <v>155</v>
      </c>
      <c r="G10" s="154">
        <v>147</v>
      </c>
      <c r="H10" s="154">
        <v>143</v>
      </c>
      <c r="I10" s="154">
        <v>161</v>
      </c>
      <c r="J10" s="154">
        <v>177</v>
      </c>
      <c r="K10" s="154">
        <v>155</v>
      </c>
      <c r="L10" s="129">
        <v>181</v>
      </c>
      <c r="M10" s="130">
        <v>165</v>
      </c>
      <c r="N10" s="131">
        <v>185</v>
      </c>
      <c r="O10" s="129">
        <v>213</v>
      </c>
      <c r="P10" s="130">
        <v>185</v>
      </c>
      <c r="Q10" s="131">
        <v>191</v>
      </c>
      <c r="R10" s="129">
        <v>165</v>
      </c>
      <c r="S10" s="130">
        <v>143</v>
      </c>
      <c r="T10" s="138">
        <v>148</v>
      </c>
      <c r="U10" s="227">
        <f t="shared" si="2"/>
        <v>213</v>
      </c>
      <c r="V10" s="17">
        <f t="shared" ref="V10:V18" si="4">IFERROR(SUM(E10:T10)/COUNT(E10:T10),"-")</f>
        <v>167.6</v>
      </c>
      <c r="W10" s="18"/>
      <c r="X10" s="18"/>
      <c r="Y10" s="18">
        <v>133</v>
      </c>
      <c r="Z10" s="18">
        <v>129</v>
      </c>
      <c r="AA10" s="18">
        <v>156</v>
      </c>
      <c r="AB10" s="18"/>
      <c r="AC10" s="18"/>
      <c r="AD10" s="18"/>
      <c r="AE10" s="28">
        <v>214</v>
      </c>
      <c r="AF10" s="28">
        <v>184</v>
      </c>
      <c r="AG10" s="28">
        <v>145</v>
      </c>
      <c r="AH10" s="18">
        <v>166</v>
      </c>
      <c r="AI10" s="18">
        <v>149</v>
      </c>
      <c r="AJ10" s="18">
        <v>165</v>
      </c>
      <c r="AK10" s="18">
        <v>139</v>
      </c>
      <c r="AL10" s="18">
        <v>147</v>
      </c>
      <c r="AM10" s="18">
        <v>147</v>
      </c>
      <c r="AN10" s="18"/>
      <c r="AO10" s="18"/>
      <c r="AP10" s="18"/>
      <c r="AQ10" s="58">
        <v>185</v>
      </c>
      <c r="AR10" s="58">
        <v>176</v>
      </c>
      <c r="AS10" s="58">
        <v>152</v>
      </c>
      <c r="AT10" s="18">
        <v>146</v>
      </c>
      <c r="AU10" s="18">
        <v>144</v>
      </c>
      <c r="AV10" s="18"/>
      <c r="AW10" s="18"/>
      <c r="AX10" s="18"/>
      <c r="AY10" s="18"/>
      <c r="AZ10" s="18"/>
      <c r="BA10" s="18"/>
      <c r="BB10" s="18"/>
      <c r="BC10" s="18"/>
      <c r="BD10" s="13"/>
      <c r="BE10" s="13"/>
      <c r="BF10" s="13"/>
      <c r="BG10" s="5"/>
      <c r="BH10" s="18">
        <v>116</v>
      </c>
      <c r="BI10" s="18">
        <v>180</v>
      </c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47"/>
      <c r="BV10" s="144">
        <f t="shared" ref="BV10:BV18" si="5">IFERROR(SUM($F10:$H10)/3,0)</f>
        <v>148.33333333333334</v>
      </c>
      <c r="BW10" s="144">
        <f>IFERROR(IF(COUNT($E10:BU10)&gt;10,SUM(INDEX(((E10:BU10&lt;&gt;"")*COLUMN(E10:BU10)&lt;LARGE(INDEX((E10:BU10&lt;&gt;"")*COLUMN(E10:BU10),),COUNT($E10:BU10)-10))*E10:BU10,))/10,SUM($E10:BT10)/COUNT($E10:BT10)),0)</f>
        <v>168.2</v>
      </c>
      <c r="BX10" s="163">
        <f t="shared" ref="BX10:BX18" si="6">MAX(E10:T10)</f>
        <v>213</v>
      </c>
      <c r="BY10" s="163">
        <f t="shared" ref="BY10:BY18" si="7">AVERAGE(I10:V10)</f>
        <v>174.97142857142856</v>
      </c>
    </row>
    <row r="11" spans="1:16384" ht="20.100000000000001" customHeight="1">
      <c r="A11" s="74" t="s">
        <v>71</v>
      </c>
      <c r="B11" s="74" t="s">
        <v>191</v>
      </c>
      <c r="C11" s="74" t="s">
        <v>162</v>
      </c>
      <c r="D11" s="75">
        <v>12</v>
      </c>
      <c r="E11" s="22"/>
      <c r="F11" s="155"/>
      <c r="G11" s="155"/>
      <c r="H11" s="155"/>
      <c r="I11" s="155">
        <v>161</v>
      </c>
      <c r="J11" s="155">
        <v>157</v>
      </c>
      <c r="K11" s="155">
        <v>172</v>
      </c>
      <c r="L11" s="132">
        <v>120</v>
      </c>
      <c r="M11" s="133">
        <v>143</v>
      </c>
      <c r="N11" s="134">
        <v>135</v>
      </c>
      <c r="O11" s="132"/>
      <c r="P11" s="133"/>
      <c r="Q11" s="134"/>
      <c r="R11" s="132">
        <v>155</v>
      </c>
      <c r="S11" s="133">
        <v>185</v>
      </c>
      <c r="T11" s="139">
        <v>168</v>
      </c>
      <c r="U11" s="227">
        <f t="shared" si="2"/>
        <v>185</v>
      </c>
      <c r="V11" s="17">
        <f t="shared" si="4"/>
        <v>155.11111111111111</v>
      </c>
      <c r="W11" s="22"/>
      <c r="X11" s="22"/>
      <c r="Y11" s="22">
        <v>146</v>
      </c>
      <c r="Z11" s="22">
        <v>149</v>
      </c>
      <c r="AA11" s="22">
        <v>153</v>
      </c>
      <c r="AB11" s="22"/>
      <c r="AC11" s="22"/>
      <c r="AD11" s="22"/>
      <c r="AE11" s="28">
        <v>165</v>
      </c>
      <c r="AF11" s="28">
        <v>180</v>
      </c>
      <c r="AG11" s="28">
        <v>176</v>
      </c>
      <c r="AH11" s="22">
        <v>123</v>
      </c>
      <c r="AI11" s="22">
        <v>181</v>
      </c>
      <c r="AJ11" s="22">
        <v>168</v>
      </c>
      <c r="AK11" s="18">
        <v>156</v>
      </c>
      <c r="AL11" s="18">
        <v>116</v>
      </c>
      <c r="AM11" s="18">
        <v>184</v>
      </c>
      <c r="AN11" s="20">
        <v>215</v>
      </c>
      <c r="AO11" s="18">
        <v>160</v>
      </c>
      <c r="AP11" s="18">
        <v>173</v>
      </c>
      <c r="AQ11" s="76">
        <v>160</v>
      </c>
      <c r="AR11" s="76">
        <v>163</v>
      </c>
      <c r="AS11" s="76">
        <v>199</v>
      </c>
      <c r="AT11" s="77"/>
      <c r="AU11" s="77"/>
      <c r="AV11" s="78">
        <v>232</v>
      </c>
      <c r="AW11" s="77">
        <v>158</v>
      </c>
      <c r="AX11" s="77">
        <v>140</v>
      </c>
      <c r="AY11" s="22">
        <v>151</v>
      </c>
      <c r="AZ11" s="22">
        <v>128</v>
      </c>
      <c r="BA11" s="68">
        <v>159</v>
      </c>
      <c r="BB11" s="68">
        <v>137</v>
      </c>
      <c r="BC11" s="68">
        <v>167</v>
      </c>
      <c r="BD11" s="22">
        <v>182</v>
      </c>
      <c r="BE11" s="22">
        <v>166</v>
      </c>
      <c r="BF11" s="22">
        <v>160</v>
      </c>
      <c r="BG11" s="5"/>
      <c r="BH11" s="21">
        <v>200</v>
      </c>
      <c r="BI11" s="22">
        <v>145</v>
      </c>
      <c r="BJ11" s="18">
        <v>138</v>
      </c>
      <c r="BK11" s="18">
        <v>127</v>
      </c>
      <c r="BL11" s="18">
        <v>152</v>
      </c>
      <c r="BM11" s="18">
        <v>145</v>
      </c>
      <c r="BN11" s="18">
        <v>125</v>
      </c>
      <c r="BO11" s="18">
        <v>134</v>
      </c>
      <c r="BP11" s="18"/>
      <c r="BQ11" s="18"/>
      <c r="BR11" s="18">
        <v>140</v>
      </c>
      <c r="BS11" s="18">
        <v>126</v>
      </c>
      <c r="BT11" s="18">
        <v>130</v>
      </c>
      <c r="BU11" s="147"/>
      <c r="BV11" s="144">
        <f t="shared" si="5"/>
        <v>0</v>
      </c>
      <c r="BW11" s="144">
        <f>IFERROR(IF(COUNT($E11:BU11)&gt;10,SUM(INDEX(((E11:BU11&lt;&gt;"")*COLUMN(E11:BU11)&lt;LARGE(INDEX((E11:BU11&lt;&gt;"")*COLUMN(E11:BU11),),COUNT($E11:BU11)-10))*E11:BU11,))/10,SUM($E11:BT11)/COUNT($E11:BT11)),0)</f>
        <v>158.1</v>
      </c>
      <c r="BX11" s="163">
        <f t="shared" si="6"/>
        <v>185</v>
      </c>
      <c r="BY11" s="163">
        <f t="shared" si="7"/>
        <v>157.82828282828282</v>
      </c>
    </row>
    <row r="12" spans="1:16384" ht="20.100000000000001" customHeight="1">
      <c r="A12" s="55" t="s">
        <v>75</v>
      </c>
      <c r="B12" s="55" t="s">
        <v>191</v>
      </c>
      <c r="C12" s="55" t="s">
        <v>160</v>
      </c>
      <c r="D12" s="18"/>
      <c r="E12" s="18"/>
      <c r="F12" s="154">
        <v>167</v>
      </c>
      <c r="G12" s="154">
        <v>165</v>
      </c>
      <c r="H12" s="154">
        <v>225</v>
      </c>
      <c r="I12" s="154">
        <v>126</v>
      </c>
      <c r="J12" s="154">
        <v>159</v>
      </c>
      <c r="K12" s="154">
        <v>196</v>
      </c>
      <c r="L12" s="129">
        <v>180</v>
      </c>
      <c r="M12" s="130">
        <v>146</v>
      </c>
      <c r="N12" s="131">
        <v>143</v>
      </c>
      <c r="O12" s="129">
        <v>164</v>
      </c>
      <c r="P12" s="130">
        <v>157</v>
      </c>
      <c r="Q12" s="131">
        <v>139</v>
      </c>
      <c r="R12" s="129">
        <v>139</v>
      </c>
      <c r="S12" s="130">
        <v>186</v>
      </c>
      <c r="T12" s="138">
        <v>152</v>
      </c>
      <c r="U12" s="227">
        <f t="shared" si="2"/>
        <v>225</v>
      </c>
      <c r="V12" s="17">
        <f t="shared" si="4"/>
        <v>162.93333333333334</v>
      </c>
      <c r="W12" s="18"/>
      <c r="X12" s="18"/>
      <c r="Y12" s="18">
        <v>235</v>
      </c>
      <c r="Z12" s="18">
        <v>175</v>
      </c>
      <c r="AA12" s="18">
        <v>170</v>
      </c>
      <c r="AB12" s="18">
        <v>124</v>
      </c>
      <c r="AC12" s="18">
        <v>145</v>
      </c>
      <c r="AD12" s="18">
        <v>207</v>
      </c>
      <c r="AE12" s="28">
        <v>148</v>
      </c>
      <c r="AF12" s="28">
        <v>156</v>
      </c>
      <c r="AG12" s="28">
        <v>153</v>
      </c>
      <c r="AH12" s="18">
        <v>158</v>
      </c>
      <c r="AI12" s="18">
        <v>222</v>
      </c>
      <c r="AJ12" s="18">
        <v>152</v>
      </c>
      <c r="AK12" s="18">
        <v>177</v>
      </c>
      <c r="AL12" s="18">
        <v>192</v>
      </c>
      <c r="AM12" s="18">
        <v>178</v>
      </c>
      <c r="AN12" s="18"/>
      <c r="AO12" s="18"/>
      <c r="AP12" s="18"/>
      <c r="AQ12" s="58">
        <v>194</v>
      </c>
      <c r="AR12" s="58">
        <v>173</v>
      </c>
      <c r="AS12" s="58">
        <v>144</v>
      </c>
      <c r="AT12" s="18">
        <v>166</v>
      </c>
      <c r="AU12" s="18">
        <v>156</v>
      </c>
      <c r="AV12" s="18">
        <v>152</v>
      </c>
      <c r="AW12" s="18">
        <v>146</v>
      </c>
      <c r="AX12" s="18">
        <v>196</v>
      </c>
      <c r="AY12" s="18">
        <v>149</v>
      </c>
      <c r="AZ12" s="18">
        <v>192</v>
      </c>
      <c r="BA12" s="18">
        <v>152</v>
      </c>
      <c r="BB12" s="18">
        <v>158</v>
      </c>
      <c r="BC12" s="18">
        <v>126</v>
      </c>
      <c r="BD12" s="18">
        <v>158</v>
      </c>
      <c r="BE12" s="18">
        <v>141</v>
      </c>
      <c r="BF12" s="18">
        <v>169</v>
      </c>
      <c r="BG12" s="5"/>
      <c r="BH12" s="21">
        <v>234</v>
      </c>
      <c r="BI12" s="18">
        <v>191</v>
      </c>
      <c r="BJ12" s="18"/>
      <c r="BK12" s="18"/>
      <c r="BL12" s="18"/>
      <c r="BM12" s="18">
        <v>153</v>
      </c>
      <c r="BN12" s="18">
        <v>163</v>
      </c>
      <c r="BO12" s="18">
        <v>138</v>
      </c>
      <c r="BP12" s="18">
        <v>153</v>
      </c>
      <c r="BQ12" s="18">
        <v>164</v>
      </c>
      <c r="BR12" s="18">
        <v>151</v>
      </c>
      <c r="BS12" s="18">
        <v>167</v>
      </c>
      <c r="BT12" s="18">
        <v>194</v>
      </c>
      <c r="BU12" s="147"/>
      <c r="BV12" s="144">
        <f t="shared" si="5"/>
        <v>185.66666666666666</v>
      </c>
      <c r="BW12" s="144">
        <f>IFERROR(IF(COUNT($E12:BU12)&gt;10,SUM(INDEX(((E12:BU12&lt;&gt;"")*COLUMN(E12:BU12)&lt;LARGE(INDEX((E12:BU12&lt;&gt;"")*COLUMN(E12:BU12),),COUNT($E12:BU12)-10))*E12:BU12,))/10,SUM($E12:BT12)/COUNT($E12:BT12)),0)</f>
        <v>167.1</v>
      </c>
      <c r="BX12" s="163">
        <f t="shared" si="6"/>
        <v>225</v>
      </c>
      <c r="BY12" s="163">
        <f t="shared" si="7"/>
        <v>162.49523809523811</v>
      </c>
    </row>
    <row r="13" spans="1:16384" ht="20.100000000000001" customHeight="1">
      <c r="A13" s="55" t="s">
        <v>68</v>
      </c>
      <c r="B13" s="55" t="s">
        <v>191</v>
      </c>
      <c r="C13" s="55" t="s">
        <v>166</v>
      </c>
      <c r="D13" s="18"/>
      <c r="E13" s="18"/>
      <c r="F13" s="154">
        <v>158</v>
      </c>
      <c r="G13" s="154">
        <v>149</v>
      </c>
      <c r="H13" s="154">
        <v>199</v>
      </c>
      <c r="I13" s="154">
        <v>131</v>
      </c>
      <c r="J13" s="154">
        <v>169</v>
      </c>
      <c r="K13" s="154">
        <v>172</v>
      </c>
      <c r="L13" s="129">
        <v>167</v>
      </c>
      <c r="M13" s="130">
        <v>168</v>
      </c>
      <c r="N13" s="131">
        <v>152</v>
      </c>
      <c r="O13" s="129"/>
      <c r="P13" s="130"/>
      <c r="Q13" s="131"/>
      <c r="R13" s="129">
        <v>164</v>
      </c>
      <c r="S13" s="130">
        <v>147</v>
      </c>
      <c r="T13" s="138">
        <v>154</v>
      </c>
      <c r="U13" s="227">
        <f t="shared" si="2"/>
        <v>199</v>
      </c>
      <c r="V13" s="17">
        <f t="shared" si="4"/>
        <v>160.83333333333334</v>
      </c>
      <c r="W13" s="18">
        <v>203</v>
      </c>
      <c r="X13" s="18">
        <v>159</v>
      </c>
      <c r="Y13" s="18"/>
      <c r="Z13" s="18"/>
      <c r="AA13" s="18"/>
      <c r="AB13" s="18">
        <v>224</v>
      </c>
      <c r="AC13" s="18">
        <v>181</v>
      </c>
      <c r="AD13" s="18">
        <v>177</v>
      </c>
      <c r="AE13" s="28">
        <v>113</v>
      </c>
      <c r="AF13" s="28">
        <v>200</v>
      </c>
      <c r="AG13" s="28">
        <v>154</v>
      </c>
      <c r="AH13" s="18">
        <v>148</v>
      </c>
      <c r="AI13" s="18">
        <v>158</v>
      </c>
      <c r="AJ13" s="18">
        <v>166</v>
      </c>
      <c r="AK13" s="18">
        <v>122</v>
      </c>
      <c r="AL13" s="18">
        <v>137</v>
      </c>
      <c r="AM13" s="18">
        <v>145</v>
      </c>
      <c r="AN13" s="18">
        <v>165</v>
      </c>
      <c r="AO13" s="18">
        <v>135</v>
      </c>
      <c r="AP13" s="18">
        <v>150</v>
      </c>
      <c r="AQ13" s="58">
        <v>176</v>
      </c>
      <c r="AR13" s="58">
        <v>155</v>
      </c>
      <c r="AS13" s="58">
        <v>187</v>
      </c>
      <c r="AT13" s="18"/>
      <c r="AU13" s="18"/>
      <c r="AV13" s="18"/>
      <c r="AW13" s="18"/>
      <c r="AX13" s="18"/>
      <c r="AY13" s="18">
        <v>196</v>
      </c>
      <c r="AZ13" s="18">
        <v>132</v>
      </c>
      <c r="BA13" s="68">
        <v>120</v>
      </c>
      <c r="BB13" s="68">
        <v>147</v>
      </c>
      <c r="BC13" s="68">
        <v>140</v>
      </c>
      <c r="BD13" s="18">
        <v>157</v>
      </c>
      <c r="BE13" s="18">
        <v>131</v>
      </c>
      <c r="BF13" s="18">
        <v>143</v>
      </c>
      <c r="BG13" s="5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47"/>
      <c r="BV13" s="144">
        <f t="shared" si="5"/>
        <v>168.66666666666666</v>
      </c>
      <c r="BW13" s="144">
        <f>IFERROR(IF(COUNT($E13:BU13)&gt;10,SUM(INDEX(((E13:BU13&lt;&gt;"")*COLUMN(E13:BU13)&lt;LARGE(INDEX((E13:BU13&lt;&gt;"")*COLUMN(E13:BU13),),COUNT($E13:BU13)-10))*E13:BU13,))/10,SUM($E13:BT13)/COUNT($E13:BT13)),0)</f>
        <v>162.9</v>
      </c>
      <c r="BX13" s="163">
        <f t="shared" si="6"/>
        <v>199</v>
      </c>
      <c r="BY13" s="163">
        <f t="shared" si="7"/>
        <v>162.16666666666666</v>
      </c>
    </row>
    <row r="14" spans="1:16384" ht="20.100000000000001" customHeight="1">
      <c r="A14" s="55" t="s">
        <v>59</v>
      </c>
      <c r="B14" s="55" t="s">
        <v>191</v>
      </c>
      <c r="C14" s="55" t="s">
        <v>166</v>
      </c>
      <c r="D14" s="18"/>
      <c r="E14" s="18"/>
      <c r="F14" s="154">
        <v>159</v>
      </c>
      <c r="G14" s="154">
        <v>144</v>
      </c>
      <c r="H14" s="154">
        <v>163</v>
      </c>
      <c r="I14" s="154">
        <v>123</v>
      </c>
      <c r="J14" s="154">
        <v>172</v>
      </c>
      <c r="K14" s="154">
        <v>170</v>
      </c>
      <c r="L14" s="129">
        <v>158</v>
      </c>
      <c r="M14" s="130">
        <v>159</v>
      </c>
      <c r="N14" s="131">
        <v>136</v>
      </c>
      <c r="O14" s="129">
        <v>162</v>
      </c>
      <c r="P14" s="130">
        <v>162</v>
      </c>
      <c r="Q14" s="131">
        <v>188</v>
      </c>
      <c r="R14" s="129">
        <v>177</v>
      </c>
      <c r="S14" s="130">
        <v>161</v>
      </c>
      <c r="T14" s="138">
        <v>182</v>
      </c>
      <c r="U14" s="227">
        <f t="shared" si="2"/>
        <v>188</v>
      </c>
      <c r="V14" s="17">
        <f t="shared" si="4"/>
        <v>161.06666666666666</v>
      </c>
      <c r="W14" s="18">
        <v>185</v>
      </c>
      <c r="X14" s="18">
        <v>178</v>
      </c>
      <c r="Y14" s="18">
        <v>161</v>
      </c>
      <c r="Z14" s="18">
        <v>152</v>
      </c>
      <c r="AA14" s="18">
        <v>195</v>
      </c>
      <c r="AB14" s="18">
        <v>203</v>
      </c>
      <c r="AC14" s="18">
        <v>165</v>
      </c>
      <c r="AD14" s="18">
        <v>153</v>
      </c>
      <c r="AE14" s="28">
        <v>191</v>
      </c>
      <c r="AF14" s="28">
        <v>164</v>
      </c>
      <c r="AG14" s="28">
        <v>224</v>
      </c>
      <c r="AH14" s="18">
        <v>198</v>
      </c>
      <c r="AI14" s="18">
        <v>187</v>
      </c>
      <c r="AJ14" s="18">
        <v>168</v>
      </c>
      <c r="AK14" s="18"/>
      <c r="AL14" s="18"/>
      <c r="AM14" s="18"/>
      <c r="AN14" s="20">
        <v>203</v>
      </c>
      <c r="AO14" s="18">
        <v>186</v>
      </c>
      <c r="AP14" s="18">
        <v>166</v>
      </c>
      <c r="AQ14" s="58"/>
      <c r="AR14" s="58"/>
      <c r="AS14" s="58"/>
      <c r="AT14" s="18">
        <v>116</v>
      </c>
      <c r="AU14" s="18">
        <v>138</v>
      </c>
      <c r="AV14" s="18">
        <v>154</v>
      </c>
      <c r="AW14" s="18">
        <v>148</v>
      </c>
      <c r="AX14" s="18">
        <v>160</v>
      </c>
      <c r="AY14" s="18">
        <v>175</v>
      </c>
      <c r="AZ14" s="18">
        <v>150</v>
      </c>
      <c r="BA14" s="18">
        <v>154</v>
      </c>
      <c r="BB14" s="18">
        <v>149</v>
      </c>
      <c r="BC14" s="18">
        <v>136</v>
      </c>
      <c r="BD14" s="18">
        <v>164</v>
      </c>
      <c r="BE14" s="20">
        <v>225</v>
      </c>
      <c r="BF14" s="18">
        <v>169</v>
      </c>
      <c r="BG14" s="5"/>
      <c r="BH14" s="18">
        <v>198</v>
      </c>
      <c r="BI14" s="18">
        <v>168</v>
      </c>
      <c r="BJ14" s="18">
        <v>197</v>
      </c>
      <c r="BK14" s="18">
        <v>140</v>
      </c>
      <c r="BL14" s="18">
        <v>156</v>
      </c>
      <c r="BM14" s="18">
        <v>196</v>
      </c>
      <c r="BN14" s="18">
        <v>166</v>
      </c>
      <c r="BO14" s="18">
        <v>140</v>
      </c>
      <c r="BP14" s="18">
        <v>192</v>
      </c>
      <c r="BQ14" s="18">
        <v>136</v>
      </c>
      <c r="BR14" s="18"/>
      <c r="BS14" s="18"/>
      <c r="BT14" s="18"/>
      <c r="BU14" s="147"/>
      <c r="BV14" s="144">
        <f t="shared" si="5"/>
        <v>155.33333333333334</v>
      </c>
      <c r="BW14" s="144">
        <f>IFERROR(IF(COUNT($E14:BU14)&gt;10,SUM(INDEX(((E14:BU14&lt;&gt;"")*COLUMN(E14:BU14)&lt;LARGE(INDEX((E14:BU14&lt;&gt;"")*COLUMN(E14:BU14),),COUNT($E14:BU14)-10))*E14:BU14,))/10,SUM($E14:BT14)/COUNT($E14:BT14)),0)</f>
        <v>154.6</v>
      </c>
      <c r="BX14" s="163">
        <f t="shared" si="6"/>
        <v>188</v>
      </c>
      <c r="BY14" s="163">
        <f t="shared" si="7"/>
        <v>164.21904761904761</v>
      </c>
    </row>
    <row r="15" spans="1:16384" ht="20.100000000000001" customHeight="1">
      <c r="A15" s="55" t="s">
        <v>73</v>
      </c>
      <c r="B15" s="55" t="s">
        <v>191</v>
      </c>
      <c r="C15" s="55" t="s">
        <v>160</v>
      </c>
      <c r="D15" s="18"/>
      <c r="E15" s="18"/>
      <c r="F15" s="154">
        <v>198</v>
      </c>
      <c r="G15" s="154">
        <v>157</v>
      </c>
      <c r="H15" s="154">
        <v>177</v>
      </c>
      <c r="I15" s="154">
        <v>144</v>
      </c>
      <c r="J15" s="154">
        <v>144</v>
      </c>
      <c r="K15" s="154">
        <v>167</v>
      </c>
      <c r="L15" s="129">
        <v>180</v>
      </c>
      <c r="M15" s="130">
        <v>148</v>
      </c>
      <c r="N15" s="131">
        <v>219</v>
      </c>
      <c r="O15" s="129">
        <v>143</v>
      </c>
      <c r="P15" s="130">
        <v>184</v>
      </c>
      <c r="Q15" s="131">
        <v>182</v>
      </c>
      <c r="R15" s="129">
        <v>136</v>
      </c>
      <c r="S15" s="130">
        <v>167</v>
      </c>
      <c r="T15" s="138">
        <v>151</v>
      </c>
      <c r="U15" s="227">
        <f t="shared" si="2"/>
        <v>219</v>
      </c>
      <c r="V15" s="17">
        <f t="shared" si="4"/>
        <v>166.46666666666667</v>
      </c>
      <c r="W15" s="18"/>
      <c r="X15" s="18"/>
      <c r="Y15" s="18">
        <v>193</v>
      </c>
      <c r="Z15" s="18">
        <v>166</v>
      </c>
      <c r="AA15" s="18">
        <v>168</v>
      </c>
      <c r="AB15" s="18">
        <v>138</v>
      </c>
      <c r="AC15" s="18">
        <v>144</v>
      </c>
      <c r="AD15" s="18">
        <v>134</v>
      </c>
      <c r="AE15" s="28">
        <v>136</v>
      </c>
      <c r="AF15" s="28">
        <v>158</v>
      </c>
      <c r="AG15" s="28">
        <v>108</v>
      </c>
      <c r="AH15" s="18"/>
      <c r="AI15" s="18"/>
      <c r="AJ15" s="18"/>
      <c r="AK15" s="18">
        <v>158</v>
      </c>
      <c r="AL15" s="18">
        <v>110</v>
      </c>
      <c r="AM15" s="18">
        <v>160</v>
      </c>
      <c r="AN15" s="18"/>
      <c r="AO15" s="18"/>
      <c r="AP15" s="18"/>
      <c r="AQ15" s="58">
        <v>141</v>
      </c>
      <c r="AR15" s="58">
        <v>146</v>
      </c>
      <c r="AS15" s="58">
        <v>142</v>
      </c>
      <c r="AT15" s="18">
        <v>162</v>
      </c>
      <c r="AU15" s="20">
        <v>236</v>
      </c>
      <c r="AV15" s="18">
        <v>127</v>
      </c>
      <c r="AW15" s="18">
        <v>136</v>
      </c>
      <c r="AX15" s="18">
        <v>162</v>
      </c>
      <c r="AY15" s="18">
        <v>195</v>
      </c>
      <c r="AZ15" s="18">
        <v>190</v>
      </c>
      <c r="BA15" s="18">
        <v>162</v>
      </c>
      <c r="BB15" s="18">
        <v>160</v>
      </c>
      <c r="BC15" s="18">
        <v>179</v>
      </c>
      <c r="BD15" s="18">
        <v>171</v>
      </c>
      <c r="BE15" s="18">
        <v>136</v>
      </c>
      <c r="BF15" s="18">
        <v>199</v>
      </c>
      <c r="BG15" s="5"/>
      <c r="BH15" s="18">
        <v>157</v>
      </c>
      <c r="BI15" s="18">
        <v>190</v>
      </c>
      <c r="BJ15" s="18"/>
      <c r="BK15" s="18"/>
      <c r="BL15" s="18"/>
      <c r="BM15" s="18">
        <v>140</v>
      </c>
      <c r="BN15" s="18">
        <v>152</v>
      </c>
      <c r="BO15" s="18">
        <v>144</v>
      </c>
      <c r="BP15" s="18">
        <v>139</v>
      </c>
      <c r="BQ15" s="18">
        <v>128</v>
      </c>
      <c r="BR15" s="18">
        <v>158</v>
      </c>
      <c r="BS15" s="18">
        <v>139</v>
      </c>
      <c r="BT15" s="18">
        <v>156</v>
      </c>
      <c r="BU15" s="147"/>
      <c r="BV15" s="144">
        <f t="shared" si="5"/>
        <v>177.33333333333334</v>
      </c>
      <c r="BW15" s="144">
        <f>IFERROR(IF(COUNT($E15:BU15)&gt;10,SUM(INDEX(((E15:BU15&lt;&gt;"")*COLUMN(E15:BU15)&lt;LARGE(INDEX((E15:BU15&lt;&gt;"")*COLUMN(E15:BU15),),COUNT($E15:BU15)-10))*E15:BU15,))/10,SUM($E15:BT15)/COUNT($E15:BT15)),0)</f>
        <v>167.7</v>
      </c>
      <c r="BX15" s="163">
        <f t="shared" si="6"/>
        <v>219</v>
      </c>
      <c r="BY15" s="163">
        <f t="shared" si="7"/>
        <v>167.89047619047619</v>
      </c>
    </row>
    <row r="16" spans="1:16384" ht="20.100000000000001" customHeight="1">
      <c r="A16" s="55" t="s">
        <v>66</v>
      </c>
      <c r="B16" s="55" t="s">
        <v>191</v>
      </c>
      <c r="C16" s="55" t="s">
        <v>166</v>
      </c>
      <c r="D16" s="18"/>
      <c r="E16" s="18"/>
      <c r="F16" s="154">
        <v>124</v>
      </c>
      <c r="G16" s="154">
        <v>126</v>
      </c>
      <c r="H16" s="154">
        <v>138</v>
      </c>
      <c r="I16" s="154">
        <v>147</v>
      </c>
      <c r="J16" s="154">
        <v>105</v>
      </c>
      <c r="K16" s="154">
        <v>167</v>
      </c>
      <c r="L16" s="129">
        <v>172</v>
      </c>
      <c r="M16" s="130">
        <v>182</v>
      </c>
      <c r="N16" s="131">
        <v>157</v>
      </c>
      <c r="O16" s="129">
        <v>116</v>
      </c>
      <c r="P16" s="130">
        <v>157</v>
      </c>
      <c r="Q16" s="131">
        <v>144</v>
      </c>
      <c r="R16" s="129">
        <v>138</v>
      </c>
      <c r="S16" s="130">
        <v>147</v>
      </c>
      <c r="T16" s="138">
        <v>152</v>
      </c>
      <c r="U16" s="227">
        <f t="shared" si="2"/>
        <v>182</v>
      </c>
      <c r="V16" s="17">
        <f t="shared" si="4"/>
        <v>144.80000000000001</v>
      </c>
      <c r="W16" s="18"/>
      <c r="X16" s="18"/>
      <c r="Y16" s="18">
        <v>158</v>
      </c>
      <c r="Z16" s="18">
        <v>141</v>
      </c>
      <c r="AA16" s="18">
        <v>155</v>
      </c>
      <c r="AB16" s="18">
        <v>169</v>
      </c>
      <c r="AC16" s="18">
        <v>170</v>
      </c>
      <c r="AD16" s="18">
        <v>168</v>
      </c>
      <c r="AE16" s="28">
        <v>134</v>
      </c>
      <c r="AF16" s="28">
        <v>147</v>
      </c>
      <c r="AG16" s="28">
        <v>179</v>
      </c>
      <c r="AH16" s="18"/>
      <c r="AI16" s="18"/>
      <c r="AJ16" s="18"/>
      <c r="AK16" s="18">
        <v>162</v>
      </c>
      <c r="AL16" s="20">
        <v>216</v>
      </c>
      <c r="AM16" s="18">
        <v>127</v>
      </c>
      <c r="AN16" s="18"/>
      <c r="AO16" s="18"/>
      <c r="AP16" s="18"/>
      <c r="AQ16" s="18">
        <v>181</v>
      </c>
      <c r="AR16" s="18">
        <v>167</v>
      </c>
      <c r="AS16" s="18">
        <v>152</v>
      </c>
      <c r="AT16" s="18">
        <v>154</v>
      </c>
      <c r="AU16" s="18">
        <v>135</v>
      </c>
      <c r="AV16" s="18">
        <v>111</v>
      </c>
      <c r="AW16" s="18">
        <v>180</v>
      </c>
      <c r="AX16" s="71">
        <v>256</v>
      </c>
      <c r="AY16" s="18"/>
      <c r="AZ16" s="18"/>
      <c r="BA16" s="18">
        <v>181</v>
      </c>
      <c r="BB16" s="18">
        <v>165</v>
      </c>
      <c r="BC16" s="18">
        <v>171</v>
      </c>
      <c r="BD16" s="18">
        <v>175</v>
      </c>
      <c r="BE16" s="18">
        <v>141</v>
      </c>
      <c r="BF16" s="18">
        <v>116</v>
      </c>
      <c r="BG16" s="5"/>
      <c r="BH16" s="18">
        <v>148</v>
      </c>
      <c r="BI16" s="18">
        <v>132</v>
      </c>
      <c r="BJ16" s="18">
        <v>129</v>
      </c>
      <c r="BK16" s="18">
        <v>169</v>
      </c>
      <c r="BL16" s="18">
        <v>145</v>
      </c>
      <c r="BM16" s="20">
        <v>214</v>
      </c>
      <c r="BN16" s="18">
        <v>124</v>
      </c>
      <c r="BO16" s="18">
        <v>140</v>
      </c>
      <c r="BP16" s="18">
        <v>164</v>
      </c>
      <c r="BQ16" s="20">
        <v>202</v>
      </c>
      <c r="BR16" s="18">
        <v>160</v>
      </c>
      <c r="BS16" s="18">
        <v>164</v>
      </c>
      <c r="BT16" s="18">
        <v>139</v>
      </c>
      <c r="BU16" s="147"/>
      <c r="BV16" s="144">
        <f t="shared" si="5"/>
        <v>129.33333333333334</v>
      </c>
      <c r="BW16" s="144">
        <f>IFERROR(IF(COUNT($E16:BU16)&gt;10,SUM(INDEX(((E16:BU16&lt;&gt;"")*COLUMN(E16:BU16)&lt;LARGE(INDEX((E16:BU16&lt;&gt;"")*COLUMN(E16:BU16),),COUNT($E16:BU16)-10))*E16:BU16,))/10,SUM($E16:BT16)/COUNT($E16:BT16)),0)</f>
        <v>143.4</v>
      </c>
      <c r="BX16" s="163">
        <f t="shared" si="6"/>
        <v>182</v>
      </c>
      <c r="BY16" s="163">
        <f t="shared" si="7"/>
        <v>150.77142857142857</v>
      </c>
    </row>
    <row r="17" spans="1:77" ht="20.100000000000001" customHeight="1">
      <c r="A17" s="65" t="s">
        <v>62</v>
      </c>
      <c r="B17" s="65" t="s">
        <v>191</v>
      </c>
      <c r="C17" s="65" t="s">
        <v>161</v>
      </c>
      <c r="D17" s="60">
        <v>12</v>
      </c>
      <c r="E17" s="18"/>
      <c r="F17" s="154">
        <f>134+D17</f>
        <v>146</v>
      </c>
      <c r="G17" s="154">
        <f>144+D17</f>
        <v>156</v>
      </c>
      <c r="H17" s="154">
        <f>180+D17</f>
        <v>192</v>
      </c>
      <c r="I17" s="154">
        <v>132</v>
      </c>
      <c r="J17" s="154">
        <v>146</v>
      </c>
      <c r="K17" s="154">
        <v>128</v>
      </c>
      <c r="L17" s="129">
        <v>147</v>
      </c>
      <c r="M17" s="130">
        <v>194</v>
      </c>
      <c r="N17" s="131">
        <v>155</v>
      </c>
      <c r="O17" s="129"/>
      <c r="P17" s="130"/>
      <c r="Q17" s="131"/>
      <c r="R17" s="129">
        <v>142</v>
      </c>
      <c r="S17" s="130">
        <v>147</v>
      </c>
      <c r="T17" s="138">
        <v>127</v>
      </c>
      <c r="U17" s="227">
        <f t="shared" si="2"/>
        <v>194</v>
      </c>
      <c r="V17" s="17">
        <f t="shared" si="4"/>
        <v>151</v>
      </c>
      <c r="W17" s="18"/>
      <c r="X17" s="18"/>
      <c r="Y17" s="18">
        <v>131</v>
      </c>
      <c r="Z17" s="18">
        <v>177</v>
      </c>
      <c r="AA17" s="18">
        <v>136</v>
      </c>
      <c r="AB17" s="14">
        <v>190</v>
      </c>
      <c r="AC17" s="14">
        <v>170</v>
      </c>
      <c r="AD17" s="14">
        <v>163</v>
      </c>
      <c r="AE17" s="28">
        <v>140</v>
      </c>
      <c r="AF17" s="28">
        <v>169</v>
      </c>
      <c r="AG17" s="28">
        <v>175</v>
      </c>
      <c r="AH17" s="14">
        <v>159</v>
      </c>
      <c r="AI17" s="14">
        <v>143</v>
      </c>
      <c r="AJ17" s="14">
        <v>105</v>
      </c>
      <c r="AK17" s="18">
        <v>161</v>
      </c>
      <c r="AL17" s="18">
        <v>129</v>
      </c>
      <c r="AM17" s="18">
        <v>155</v>
      </c>
      <c r="AN17" s="18">
        <f>145+12</f>
        <v>157</v>
      </c>
      <c r="AO17" s="18">
        <f>169+12</f>
        <v>181</v>
      </c>
      <c r="AP17" s="18">
        <f>137+12</f>
        <v>149</v>
      </c>
      <c r="AQ17" s="58">
        <v>146</v>
      </c>
      <c r="AR17" s="58">
        <v>170</v>
      </c>
      <c r="AS17" s="58">
        <v>152</v>
      </c>
      <c r="AT17" s="49">
        <v>117</v>
      </c>
      <c r="AU17" s="49">
        <v>117</v>
      </c>
      <c r="AV17" s="61">
        <v>134</v>
      </c>
      <c r="AW17" s="61">
        <v>135</v>
      </c>
      <c r="AX17" s="61">
        <v>152</v>
      </c>
      <c r="AY17" s="14">
        <v>126</v>
      </c>
      <c r="AZ17" s="14">
        <v>128</v>
      </c>
      <c r="BA17" s="66">
        <v>123</v>
      </c>
      <c r="BB17" s="66">
        <v>95</v>
      </c>
      <c r="BC17" s="66">
        <v>116</v>
      </c>
      <c r="BD17" s="14">
        <v>116</v>
      </c>
      <c r="BE17" s="14">
        <v>122</v>
      </c>
      <c r="BF17" s="14">
        <v>128</v>
      </c>
      <c r="BG17" s="5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7"/>
      <c r="BV17" s="144">
        <f t="shared" si="5"/>
        <v>164.66666666666666</v>
      </c>
      <c r="BW17" s="144">
        <f>IFERROR(IF(COUNT($E17:BU17)&gt;10,SUM(INDEX(((E17:BU17&lt;&gt;"")*COLUMN(E17:BU17)&lt;LARGE(INDEX((E17:BU17&lt;&gt;"")*COLUMN(E17:BU17),),COUNT($E17:BU17)-10))*E17:BU17,))/10,SUM($E17:BT17)/COUNT($E17:BT17)),0)</f>
        <v>153.80000000000001</v>
      </c>
      <c r="BX17" s="163">
        <f t="shared" si="6"/>
        <v>194</v>
      </c>
      <c r="BY17" s="163">
        <f t="shared" si="7"/>
        <v>151.18181818181819</v>
      </c>
    </row>
    <row r="18" spans="1:77" ht="20.100000000000001" customHeight="1">
      <c r="A18" s="48" t="s">
        <v>78</v>
      </c>
      <c r="B18" s="48" t="s">
        <v>191</v>
      </c>
      <c r="C18" s="48" t="s">
        <v>160</v>
      </c>
      <c r="D18" s="49">
        <v>10</v>
      </c>
      <c r="E18" s="18"/>
      <c r="F18" s="154"/>
      <c r="G18" s="154"/>
      <c r="H18" s="154"/>
      <c r="I18" s="154">
        <v>163</v>
      </c>
      <c r="J18" s="154">
        <v>118</v>
      </c>
      <c r="K18" s="154">
        <v>120</v>
      </c>
      <c r="L18" s="129"/>
      <c r="M18" s="130"/>
      <c r="N18" s="131"/>
      <c r="O18" s="129">
        <v>111</v>
      </c>
      <c r="P18" s="130">
        <v>146</v>
      </c>
      <c r="Q18" s="131">
        <v>109</v>
      </c>
      <c r="R18" s="129">
        <v>144</v>
      </c>
      <c r="S18" s="130">
        <v>108</v>
      </c>
      <c r="T18" s="138">
        <v>108</v>
      </c>
      <c r="U18" s="227">
        <f t="shared" si="2"/>
        <v>163</v>
      </c>
      <c r="V18" s="17">
        <f t="shared" si="4"/>
        <v>125.22222222222223</v>
      </c>
      <c r="W18" s="18">
        <v>110</v>
      </c>
      <c r="X18" s="18">
        <v>107</v>
      </c>
      <c r="Y18" s="18">
        <v>147</v>
      </c>
      <c r="Z18" s="18">
        <v>119</v>
      </c>
      <c r="AA18" s="18">
        <v>93</v>
      </c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58"/>
      <c r="AR18" s="58"/>
      <c r="AS18" s="58"/>
      <c r="AT18" s="61"/>
      <c r="AU18" s="61"/>
      <c r="AV18" s="61"/>
      <c r="AW18" s="61"/>
      <c r="AX18" s="61"/>
      <c r="AY18" s="18"/>
      <c r="AZ18" s="18"/>
      <c r="BA18" s="68"/>
      <c r="BB18" s="68"/>
      <c r="BC18" s="68"/>
      <c r="BD18" s="13"/>
      <c r="BE18" s="13"/>
      <c r="BF18" s="13"/>
      <c r="BG18" s="5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47"/>
      <c r="BV18" s="144">
        <f t="shared" si="5"/>
        <v>0</v>
      </c>
      <c r="BW18" s="144">
        <f>IFERROR(IF(COUNT($E18:BU18)&gt;10,SUM(INDEX(((E18:BU18&lt;&gt;"")*COLUMN(E18:BU18)&lt;LARGE(INDEX((E18:BU18&lt;&gt;"")*COLUMN(E18:BU18),),COUNT($E18:BU18)-10))*E18:BU18,))/10,SUM($E18:BT18)/COUNT($E18:BT18)),0)</f>
        <v>129</v>
      </c>
      <c r="BX18" s="163">
        <f t="shared" si="6"/>
        <v>163</v>
      </c>
      <c r="BY18" s="163">
        <f t="shared" si="7"/>
        <v>128.65656565656565</v>
      </c>
    </row>
    <row r="19" spans="1:77">
      <c r="A19" s="55" t="s">
        <v>63</v>
      </c>
      <c r="B19" s="55" t="s">
        <v>192</v>
      </c>
      <c r="C19" s="55"/>
      <c r="D19" s="18">
        <v>10</v>
      </c>
      <c r="E19" s="14"/>
      <c r="F19" s="42"/>
      <c r="G19" s="42"/>
      <c r="H19" s="42"/>
      <c r="I19" s="42"/>
      <c r="J19" s="42"/>
      <c r="K19" s="42"/>
      <c r="L19" s="126"/>
      <c r="M19" s="127"/>
      <c r="N19" s="128"/>
      <c r="O19" s="126"/>
      <c r="P19" s="127"/>
      <c r="Q19" s="128"/>
      <c r="R19" s="126"/>
      <c r="S19" s="127"/>
      <c r="T19" s="137"/>
      <c r="U19" s="227"/>
      <c r="V19" s="17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67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5"/>
      <c r="BE19" s="15"/>
      <c r="BF19" s="15"/>
      <c r="BG19" s="5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7"/>
      <c r="BV19" s="144">
        <f>IFERROR(SUM($E19:$N19)/3,0)</f>
        <v>0</v>
      </c>
      <c r="BW19" s="144">
        <f>IFERROR(IF(COUNT($E19:BU19)&gt;10,SUM(INDEX(((E19:BU19&lt;&gt;"")*COLUMN(E19:BU19)&lt;LARGE(INDEX((E19:BU19&lt;&gt;"")*COLUMN(E19:BU19),),COUNT($E19:BU19)-10))*E19:BU19,))/10,SUM($E19:BT19)/COUNT($E19:BT19)),0)</f>
        <v>0</v>
      </c>
      <c r="BX19"/>
      <c r="BY19"/>
    </row>
    <row r="20" spans="1:77" ht="20.100000000000001" customHeight="1">
      <c r="A20" s="59" t="s">
        <v>70</v>
      </c>
      <c r="B20" s="59" t="s">
        <v>191</v>
      </c>
      <c r="C20" s="59" t="s">
        <v>162</v>
      </c>
      <c r="D20" s="60">
        <v>12</v>
      </c>
      <c r="E20" s="14"/>
      <c r="F20" s="42"/>
      <c r="G20" s="42"/>
      <c r="H20" s="42"/>
      <c r="I20" s="154">
        <v>115</v>
      </c>
      <c r="J20" s="154">
        <v>138</v>
      </c>
      <c r="K20" s="154">
        <v>141</v>
      </c>
      <c r="L20" s="126"/>
      <c r="M20" s="127"/>
      <c r="N20" s="128"/>
      <c r="O20" s="126"/>
      <c r="P20" s="127"/>
      <c r="Q20" s="128"/>
      <c r="R20" s="126"/>
      <c r="S20" s="127"/>
      <c r="T20" s="137"/>
      <c r="U20" s="227">
        <f t="shared" si="2"/>
        <v>141</v>
      </c>
      <c r="V20" s="17">
        <f t="shared" ref="V20:V22" si="8">IFERROR(SUM(E20:T20)/COUNT(E20:T20),"-")</f>
        <v>131.33333333333334</v>
      </c>
      <c r="W20" s="14"/>
      <c r="X20" s="14"/>
      <c r="Y20" s="14">
        <v>125</v>
      </c>
      <c r="Z20" s="14">
        <v>93</v>
      </c>
      <c r="AA20" s="14">
        <v>81</v>
      </c>
      <c r="AB20" s="18">
        <v>132</v>
      </c>
      <c r="AC20" s="18">
        <v>112</v>
      </c>
      <c r="AD20" s="18">
        <v>97</v>
      </c>
      <c r="AE20" s="28">
        <v>102</v>
      </c>
      <c r="AF20" s="28">
        <v>99</v>
      </c>
      <c r="AG20" s="28">
        <v>141</v>
      </c>
      <c r="AH20" s="18">
        <v>84</v>
      </c>
      <c r="AI20" s="18">
        <v>80</v>
      </c>
      <c r="AJ20" s="18">
        <v>131</v>
      </c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5"/>
      <c r="BE20" s="15"/>
      <c r="BF20" s="15"/>
      <c r="BG20" s="5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7"/>
      <c r="BV20" s="144">
        <f>IFERROR(SUM($F20:$H20)/3,0)</f>
        <v>0</v>
      </c>
      <c r="BW20" s="144">
        <f>IFERROR(IF(COUNT($E20:BU20)&gt;10,SUM(INDEX(((E20:BU20&lt;&gt;"")*COLUMN(E20:BU20)&lt;LARGE(INDEX((E20:BU20&lt;&gt;"")*COLUMN(E20:BU20),),COUNT($E20:BU20)-10))*E20:BU20,))/10,SUM($E20:BT20)/COUNT($E20:BT20)),0)</f>
        <v>120.93333333333335</v>
      </c>
      <c r="BX20" s="163">
        <f>MAX(E20:T20)</f>
        <v>141</v>
      </c>
      <c r="BY20" s="163">
        <f>AVERAGE(I20:V20)</f>
        <v>133.26666666666668</v>
      </c>
    </row>
    <row r="21" spans="1:77" ht="20.100000000000001" customHeight="1">
      <c r="A21" s="48" t="s">
        <v>49</v>
      </c>
      <c r="B21" s="48" t="s">
        <v>194</v>
      </c>
      <c r="C21" s="48" t="s">
        <v>160</v>
      </c>
      <c r="D21" s="49">
        <v>10</v>
      </c>
      <c r="E21" s="14"/>
      <c r="F21" s="42">
        <f>126+D21</f>
        <v>136</v>
      </c>
      <c r="G21" s="42">
        <f>D21 +131</f>
        <v>141</v>
      </c>
      <c r="H21" s="42">
        <f>85+D21</f>
        <v>95</v>
      </c>
      <c r="I21" s="42">
        <v>91</v>
      </c>
      <c r="J21" s="42">
        <v>145</v>
      </c>
      <c r="K21" s="42">
        <v>126</v>
      </c>
      <c r="L21" s="126"/>
      <c r="M21" s="127"/>
      <c r="N21" s="128"/>
      <c r="O21" s="126"/>
      <c r="P21" s="127"/>
      <c r="Q21" s="128"/>
      <c r="R21" s="126">
        <v>82</v>
      </c>
      <c r="S21" s="127">
        <v>129</v>
      </c>
      <c r="T21" s="137">
        <v>86</v>
      </c>
      <c r="U21" s="227">
        <f t="shared" si="2"/>
        <v>145</v>
      </c>
      <c r="V21" s="17">
        <f t="shared" si="8"/>
        <v>114.55555555555556</v>
      </c>
      <c r="W21" s="14"/>
      <c r="X21" s="14"/>
      <c r="Y21" s="14">
        <v>109</v>
      </c>
      <c r="Z21" s="14">
        <v>111</v>
      </c>
      <c r="AA21" s="14">
        <v>114</v>
      </c>
      <c r="AB21" s="14"/>
      <c r="AC21" s="14"/>
      <c r="AD21" s="14"/>
      <c r="AE21" s="14"/>
      <c r="AF21" s="14"/>
      <c r="AG21" s="14"/>
      <c r="AH21" s="18">
        <v>87</v>
      </c>
      <c r="AI21" s="18">
        <v>86</v>
      </c>
      <c r="AJ21" s="18">
        <v>108</v>
      </c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5"/>
      <c r="BE21" s="15"/>
      <c r="BF21" s="15"/>
      <c r="BG21" s="5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7"/>
      <c r="BV21" s="144">
        <f>IFERROR(SUM($F21:$H21)/3,0)</f>
        <v>124</v>
      </c>
      <c r="BW21" s="144">
        <f>IFERROR(IF(COUNT($E21:BU21)&gt;10,SUM(INDEX(((E21:BU21&lt;&gt;"")*COLUMN(E21:BU21)&lt;LARGE(INDEX((E21:BU21&lt;&gt;"")*COLUMN(E21:BU21),),COUNT($E21:BU21)-10))*E21:BU21,))/10,SUM($E21:BT21)/COUNT($E21:BT21)),0)</f>
        <v>117.6</v>
      </c>
      <c r="BX21" s="163">
        <f>MAX(E21:T21)</f>
        <v>145</v>
      </c>
      <c r="BY21" s="163">
        <f>AVERAGE(I21:V21)</f>
        <v>114.81944444444444</v>
      </c>
    </row>
    <row r="22" spans="1:77" ht="20.100000000000001" customHeight="1">
      <c r="A22" s="62" t="s">
        <v>57</v>
      </c>
      <c r="B22" s="62" t="s">
        <v>191</v>
      </c>
      <c r="C22" s="62" t="s">
        <v>165</v>
      </c>
      <c r="D22" s="63">
        <v>15</v>
      </c>
      <c r="E22" s="14"/>
      <c r="F22" s="42">
        <f>123+D22</f>
        <v>138</v>
      </c>
      <c r="G22" s="42">
        <f>55+D22</f>
        <v>70</v>
      </c>
      <c r="H22" s="42">
        <f>88+D22</f>
        <v>103</v>
      </c>
      <c r="I22" s="42">
        <v>111</v>
      </c>
      <c r="J22" s="42">
        <v>118</v>
      </c>
      <c r="K22" s="42">
        <v>106</v>
      </c>
      <c r="L22" s="126"/>
      <c r="M22" s="127"/>
      <c r="N22" s="128"/>
      <c r="O22" s="126"/>
      <c r="P22" s="127"/>
      <c r="Q22" s="128"/>
      <c r="R22" s="126">
        <v>100</v>
      </c>
      <c r="S22" s="127">
        <v>109</v>
      </c>
      <c r="T22" s="137">
        <v>99</v>
      </c>
      <c r="U22" s="227">
        <f t="shared" si="2"/>
        <v>138</v>
      </c>
      <c r="V22" s="17">
        <f t="shared" si="8"/>
        <v>106</v>
      </c>
      <c r="W22" s="14"/>
      <c r="X22" s="14"/>
      <c r="Y22" s="14">
        <v>85</v>
      </c>
      <c r="Z22" s="14">
        <v>88</v>
      </c>
      <c r="AA22" s="14">
        <v>112</v>
      </c>
      <c r="AB22" s="14">
        <v>107</v>
      </c>
      <c r="AC22" s="14">
        <v>87</v>
      </c>
      <c r="AD22" s="14">
        <v>79</v>
      </c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5"/>
      <c r="BE22" s="15"/>
      <c r="BF22" s="15"/>
      <c r="BG22" s="5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7"/>
      <c r="BV22" s="144">
        <f>IFERROR(SUM($F22:$H22)/3,0)</f>
        <v>103.66666666666667</v>
      </c>
      <c r="BW22" s="144">
        <f>IFERROR(IF(COUNT($E22:BU22)&gt;10,SUM(INDEX(((E22:BU22&lt;&gt;"")*COLUMN(E22:BU22)&lt;LARGE(INDEX((E22:BU22&lt;&gt;"")*COLUMN(E22:BU22),),COUNT($E22:BU22)-10))*E22:BU22,))/10,SUM($E22:BT22)/COUNT($E22:BT22)),0)</f>
        <v>109.2</v>
      </c>
      <c r="BX22" s="163">
        <f>MAX(E22:T22)</f>
        <v>138</v>
      </c>
      <c r="BY22" s="163">
        <f>AVERAGE(I22:V22)</f>
        <v>110.875</v>
      </c>
    </row>
    <row r="23" spans="1:77">
      <c r="A23" s="72" t="s">
        <v>67</v>
      </c>
      <c r="B23" s="55" t="s">
        <v>192</v>
      </c>
      <c r="C23" s="55" t="s">
        <v>166</v>
      </c>
      <c r="D23" s="73">
        <v>10</v>
      </c>
      <c r="E23" s="14"/>
      <c r="F23" s="42"/>
      <c r="G23" s="42"/>
      <c r="H23" s="42"/>
      <c r="I23" s="42"/>
      <c r="J23" s="42"/>
      <c r="K23" s="42"/>
      <c r="L23" s="126"/>
      <c r="M23" s="127"/>
      <c r="N23" s="128"/>
      <c r="O23" s="126"/>
      <c r="P23" s="127"/>
      <c r="Q23" s="128"/>
      <c r="R23" s="126"/>
      <c r="S23" s="127"/>
      <c r="T23" s="137"/>
      <c r="U23" s="227" t="e">
        <f>VLOOKUP(V23,미니게임_DATA!$A$5:$BW$38,74,0)</f>
        <v>#N/A</v>
      </c>
      <c r="V23" s="17"/>
      <c r="W23" s="14"/>
      <c r="X23" s="14"/>
      <c r="Y23" s="14"/>
      <c r="Z23" s="14"/>
      <c r="AA23" s="14"/>
      <c r="AB23" s="14">
        <v>111</v>
      </c>
      <c r="AC23" s="14">
        <v>88</v>
      </c>
      <c r="AD23" s="14">
        <v>120</v>
      </c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5"/>
      <c r="BE23" s="15"/>
      <c r="BF23" s="15"/>
      <c r="BG23" s="5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7"/>
      <c r="BV23" s="144">
        <f>IFERROR(SUM($E23:$N23)/3,0)</f>
        <v>0</v>
      </c>
      <c r="BW23" s="144">
        <f>IFERROR(IF(COUNT($E23:BU23)&gt;10,SUM(INDEX(((E23:BU23&lt;&gt;"")*COLUMN(E23:BU23)&lt;LARGE(INDEX((E23:BU23&lt;&gt;"")*COLUMN(E23:BU23),),COUNT($E23:BU23)-10))*E23:BU23,))/10,SUM($E23:BT23)/COUNT($E23:BT23)),0)</f>
        <v>0</v>
      </c>
      <c r="BX23"/>
      <c r="BY23"/>
    </row>
    <row r="24" spans="1:77" ht="20.100000000000001" customHeight="1">
      <c r="A24" s="55" t="s">
        <v>65</v>
      </c>
      <c r="B24" s="55" t="s">
        <v>191</v>
      </c>
      <c r="C24" s="55" t="s">
        <v>166</v>
      </c>
      <c r="D24" s="18"/>
      <c r="E24" s="18"/>
      <c r="F24" s="154"/>
      <c r="G24" s="154"/>
      <c r="H24" s="154"/>
      <c r="I24" s="154"/>
      <c r="J24" s="154"/>
      <c r="K24" s="154"/>
      <c r="L24" s="129"/>
      <c r="M24" s="130"/>
      <c r="N24" s="131"/>
      <c r="O24" s="129"/>
      <c r="P24" s="130"/>
      <c r="Q24" s="131"/>
      <c r="R24" s="129"/>
      <c r="S24" s="130"/>
      <c r="T24" s="138"/>
      <c r="U24" s="227">
        <f t="shared" si="2"/>
        <v>0</v>
      </c>
      <c r="V24" s="17" t="str">
        <f t="shared" ref="V24:V29" si="9">IFERROR(SUM(E24:T24)/COUNT(E24:T24),"-")</f>
        <v>-</v>
      </c>
      <c r="W24" s="18"/>
      <c r="X24" s="18"/>
      <c r="Y24" s="18"/>
      <c r="Z24" s="18"/>
      <c r="AA24" s="18"/>
      <c r="AB24" s="18">
        <v>193</v>
      </c>
      <c r="AC24" s="18">
        <v>218</v>
      </c>
      <c r="AD24" s="18">
        <v>187</v>
      </c>
      <c r="AE24" s="18"/>
      <c r="AF24" s="18"/>
      <c r="AG24" s="18"/>
      <c r="AH24" s="18">
        <v>191</v>
      </c>
      <c r="AI24" s="18">
        <v>197</v>
      </c>
      <c r="AJ24" s="18">
        <v>192</v>
      </c>
      <c r="AK24" s="18"/>
      <c r="AL24" s="18"/>
      <c r="AM24" s="18"/>
      <c r="AN24" s="18"/>
      <c r="AO24" s="18"/>
      <c r="AP24" s="18"/>
      <c r="AQ24" s="69">
        <v>255</v>
      </c>
      <c r="AR24" s="58">
        <v>178</v>
      </c>
      <c r="AS24" s="69">
        <v>216</v>
      </c>
      <c r="AT24" s="18"/>
      <c r="AU24" s="18"/>
      <c r="AV24" s="18"/>
      <c r="AW24" s="18"/>
      <c r="AX24" s="18"/>
      <c r="AY24" s="70">
        <v>235</v>
      </c>
      <c r="AZ24" s="20">
        <v>233</v>
      </c>
      <c r="BA24" s="18">
        <v>154</v>
      </c>
      <c r="BB24" s="18">
        <v>167</v>
      </c>
      <c r="BC24" s="18">
        <v>165</v>
      </c>
      <c r="BD24" s="13"/>
      <c r="BE24" s="13"/>
      <c r="BF24" s="13"/>
      <c r="BG24" s="5"/>
      <c r="BH24" s="18">
        <v>158</v>
      </c>
      <c r="BI24" s="21">
        <v>204</v>
      </c>
      <c r="BJ24" s="18"/>
      <c r="BK24" s="18"/>
      <c r="BL24" s="18"/>
      <c r="BM24" s="18"/>
      <c r="BN24" s="18"/>
      <c r="BO24" s="18"/>
      <c r="BP24" s="18">
        <v>187</v>
      </c>
      <c r="BQ24" s="18">
        <v>141</v>
      </c>
      <c r="BR24" s="18"/>
      <c r="BS24" s="18"/>
      <c r="BT24" s="18"/>
      <c r="BU24" s="147"/>
      <c r="BV24" s="144">
        <f t="shared" ref="BV24:BV29" si="10">IFERROR(SUM($F24:$H24)/3,0)</f>
        <v>0</v>
      </c>
      <c r="BW24" s="144">
        <f>IFERROR(IF(COUNT($E24:BU24)&gt;10,SUM(INDEX(((E24:BU24&lt;&gt;"")*COLUMN(E24:BU24)&lt;LARGE(INDEX((E24:BU24&lt;&gt;"")*COLUMN(E24:BU24),),COUNT($E24:BU24)-10))*E24:BU24,))/10,SUM($E24:BT24)/COUNT($E24:BT24)),0)</f>
        <v>0</v>
      </c>
      <c r="BX24" s="163">
        <f t="shared" ref="BX24:BX29" si="11">MAX(E24:T24)</f>
        <v>0</v>
      </c>
      <c r="BY24" s="163">
        <f t="shared" ref="BY24:BY29" si="12">AVERAGE(I24:V24)</f>
        <v>0</v>
      </c>
    </row>
    <row r="25" spans="1:77" ht="20.100000000000001" customHeight="1">
      <c r="A25" s="55" t="s">
        <v>76</v>
      </c>
      <c r="B25" s="55" t="s">
        <v>191</v>
      </c>
      <c r="C25" s="55" t="s">
        <v>160</v>
      </c>
      <c r="D25" s="18"/>
      <c r="E25" s="18"/>
      <c r="F25" s="154"/>
      <c r="G25" s="154"/>
      <c r="H25" s="154"/>
      <c r="I25" s="154"/>
      <c r="J25" s="154"/>
      <c r="K25" s="154"/>
      <c r="L25" s="129">
        <v>174</v>
      </c>
      <c r="M25" s="130">
        <v>202</v>
      </c>
      <c r="N25" s="131">
        <v>185</v>
      </c>
      <c r="O25" s="129">
        <v>203</v>
      </c>
      <c r="P25" s="130">
        <v>143</v>
      </c>
      <c r="Q25" s="131">
        <v>147</v>
      </c>
      <c r="R25" s="129">
        <v>171</v>
      </c>
      <c r="S25" s="130">
        <v>170</v>
      </c>
      <c r="T25" s="138">
        <v>184</v>
      </c>
      <c r="U25" s="227">
        <f t="shared" si="2"/>
        <v>203</v>
      </c>
      <c r="V25" s="17">
        <f t="shared" si="9"/>
        <v>175.44444444444446</v>
      </c>
      <c r="W25" s="18">
        <v>141</v>
      </c>
      <c r="X25" s="18">
        <v>159</v>
      </c>
      <c r="Y25" s="18">
        <v>174</v>
      </c>
      <c r="Z25" s="18">
        <v>180</v>
      </c>
      <c r="AA25" s="18">
        <v>191</v>
      </c>
      <c r="AB25" s="18">
        <v>167</v>
      </c>
      <c r="AC25" s="18">
        <v>186</v>
      </c>
      <c r="AD25" s="18">
        <v>197</v>
      </c>
      <c r="AE25" s="28">
        <v>170</v>
      </c>
      <c r="AF25" s="28">
        <v>193</v>
      </c>
      <c r="AG25" s="28">
        <v>165</v>
      </c>
      <c r="AH25" s="18">
        <v>188</v>
      </c>
      <c r="AI25" s="18">
        <v>181</v>
      </c>
      <c r="AJ25" s="18">
        <v>160</v>
      </c>
      <c r="AK25" s="18">
        <v>185</v>
      </c>
      <c r="AL25" s="20">
        <v>208</v>
      </c>
      <c r="AM25" s="18">
        <v>143</v>
      </c>
      <c r="AN25" s="18">
        <v>193</v>
      </c>
      <c r="AO25" s="18">
        <v>192</v>
      </c>
      <c r="AP25" s="18">
        <v>186</v>
      </c>
      <c r="AQ25" s="58">
        <v>196</v>
      </c>
      <c r="AR25" s="58">
        <v>154</v>
      </c>
      <c r="AS25" s="58">
        <v>179</v>
      </c>
      <c r="AT25" s="18">
        <v>135</v>
      </c>
      <c r="AU25" s="18">
        <v>160</v>
      </c>
      <c r="AV25" s="20">
        <v>205</v>
      </c>
      <c r="AW25" s="18">
        <v>158</v>
      </c>
      <c r="AX25" s="18">
        <v>185</v>
      </c>
      <c r="AY25" s="79">
        <v>195</v>
      </c>
      <c r="AZ25" s="18">
        <v>161</v>
      </c>
      <c r="BA25" s="18">
        <v>181</v>
      </c>
      <c r="BB25" s="18">
        <v>144</v>
      </c>
      <c r="BC25" s="18">
        <v>171</v>
      </c>
      <c r="BD25" s="18">
        <v>181</v>
      </c>
      <c r="BE25" s="20">
        <v>243</v>
      </c>
      <c r="BF25" s="18">
        <v>156</v>
      </c>
      <c r="BG25" s="5"/>
      <c r="BH25" s="18">
        <v>170</v>
      </c>
      <c r="BI25" s="18">
        <v>162</v>
      </c>
      <c r="BJ25" s="20">
        <v>204</v>
      </c>
      <c r="BK25" s="20">
        <v>202</v>
      </c>
      <c r="BL25" s="18">
        <v>137</v>
      </c>
      <c r="BM25" s="18">
        <v>139</v>
      </c>
      <c r="BN25" s="18">
        <v>169</v>
      </c>
      <c r="BO25" s="18">
        <v>170</v>
      </c>
      <c r="BP25" s="20">
        <v>222</v>
      </c>
      <c r="BQ25" s="18">
        <v>146</v>
      </c>
      <c r="BR25" s="18"/>
      <c r="BS25" s="18"/>
      <c r="BT25" s="18"/>
      <c r="BU25" s="147"/>
      <c r="BV25" s="144">
        <f t="shared" si="10"/>
        <v>0</v>
      </c>
      <c r="BW25" s="144">
        <f>IFERROR(IF(COUNT($E25:BU25)&gt;10,SUM(INDEX(((E25:BU25&lt;&gt;"")*COLUMN(E25:BU25)&lt;LARGE(INDEX((E25:BU25&lt;&gt;"")*COLUMN(E25:BU25),),COUNT($E25:BU25)-10))*E25:BU25,))/10,SUM($E25:BT25)/COUNT($E25:BT25)),0)</f>
        <v>178.2</v>
      </c>
      <c r="BX25" s="163">
        <f t="shared" si="11"/>
        <v>203</v>
      </c>
      <c r="BY25" s="163">
        <f t="shared" si="12"/>
        <v>177.94949494949495</v>
      </c>
    </row>
    <row r="26" spans="1:77" ht="20.100000000000001" customHeight="1">
      <c r="A26" s="55" t="s">
        <v>60</v>
      </c>
      <c r="B26" s="55" t="s">
        <v>191</v>
      </c>
      <c r="C26" s="55" t="s">
        <v>166</v>
      </c>
      <c r="D26" s="18"/>
      <c r="E26" s="18"/>
      <c r="F26" s="154"/>
      <c r="G26" s="154"/>
      <c r="H26" s="154"/>
      <c r="I26" s="154"/>
      <c r="J26" s="154"/>
      <c r="K26" s="154"/>
      <c r="L26" s="129">
        <v>151</v>
      </c>
      <c r="M26" s="130">
        <v>173</v>
      </c>
      <c r="N26" s="131">
        <v>201</v>
      </c>
      <c r="O26" s="129">
        <v>166</v>
      </c>
      <c r="P26" s="130">
        <v>195</v>
      </c>
      <c r="Q26" s="131">
        <v>225</v>
      </c>
      <c r="R26" s="129"/>
      <c r="S26" s="130"/>
      <c r="T26" s="138"/>
      <c r="U26" s="227">
        <f t="shared" si="2"/>
        <v>225</v>
      </c>
      <c r="V26" s="17">
        <f t="shared" si="9"/>
        <v>185.16666666666666</v>
      </c>
      <c r="W26" s="18">
        <v>178</v>
      </c>
      <c r="X26" s="18">
        <v>153</v>
      </c>
      <c r="Y26" s="18">
        <v>125</v>
      </c>
      <c r="Z26" s="18">
        <v>151</v>
      </c>
      <c r="AA26" s="18">
        <v>185</v>
      </c>
      <c r="AB26" s="64">
        <v>194</v>
      </c>
      <c r="AC26" s="18">
        <v>168</v>
      </c>
      <c r="AD26" s="18">
        <v>160</v>
      </c>
      <c r="AE26" s="28">
        <v>156</v>
      </c>
      <c r="AF26" s="28">
        <v>127</v>
      </c>
      <c r="AG26" s="28">
        <v>148</v>
      </c>
      <c r="AH26" s="18">
        <v>149</v>
      </c>
      <c r="AI26" s="18">
        <v>137</v>
      </c>
      <c r="AJ26" s="18">
        <v>115</v>
      </c>
      <c r="AK26" s="18">
        <v>161</v>
      </c>
      <c r="AL26" s="18">
        <v>168</v>
      </c>
      <c r="AM26" s="18">
        <v>173</v>
      </c>
      <c r="AN26" s="18">
        <v>192</v>
      </c>
      <c r="AO26" s="18">
        <v>152</v>
      </c>
      <c r="AP26" s="18">
        <v>172</v>
      </c>
      <c r="AQ26" s="58">
        <v>157</v>
      </c>
      <c r="AR26" s="58">
        <v>143</v>
      </c>
      <c r="AS26" s="58">
        <v>167</v>
      </c>
      <c r="AT26" s="18">
        <v>115</v>
      </c>
      <c r="AU26" s="18">
        <v>147</v>
      </c>
      <c r="AV26" s="18">
        <v>188</v>
      </c>
      <c r="AW26" s="18">
        <v>187</v>
      </c>
      <c r="AX26" s="18">
        <v>153</v>
      </c>
      <c r="AY26" s="18">
        <v>119</v>
      </c>
      <c r="AZ26" s="18">
        <v>161</v>
      </c>
      <c r="BA26" s="18">
        <v>155</v>
      </c>
      <c r="BB26" s="18">
        <v>107</v>
      </c>
      <c r="BC26" s="18">
        <v>125</v>
      </c>
      <c r="BD26" s="18">
        <v>140</v>
      </c>
      <c r="BE26" s="18">
        <v>136</v>
      </c>
      <c r="BF26" s="18">
        <v>155</v>
      </c>
      <c r="BG26" s="5"/>
      <c r="BH26" s="18">
        <v>145</v>
      </c>
      <c r="BI26" s="18">
        <v>173</v>
      </c>
      <c r="BJ26" s="18">
        <v>133</v>
      </c>
      <c r="BK26" s="18">
        <v>133</v>
      </c>
      <c r="BL26" s="18">
        <v>153</v>
      </c>
      <c r="BM26" s="18"/>
      <c r="BN26" s="18"/>
      <c r="BO26" s="18"/>
      <c r="BP26" s="18"/>
      <c r="BQ26" s="18"/>
      <c r="BR26" s="18"/>
      <c r="BS26" s="18"/>
      <c r="BT26" s="18"/>
      <c r="BU26" s="147"/>
      <c r="BV26" s="144">
        <f t="shared" si="10"/>
        <v>0</v>
      </c>
      <c r="BW26" s="144">
        <f>IFERROR(IF(COUNT($E26:BU26)&gt;10,SUM(INDEX(((E26:BU26&lt;&gt;"")*COLUMN(E26:BU26)&lt;LARGE(INDEX((E26:BU26&lt;&gt;"")*COLUMN(E26:BU26),),COUNT($E26:BU26)-10))*E26:BU26,))/10,SUM($E26:BT26)/COUNT($E26:BT26)),0)</f>
        <v>185.21666666666667</v>
      </c>
      <c r="BX26" s="163">
        <f t="shared" si="11"/>
        <v>225</v>
      </c>
      <c r="BY26" s="163">
        <f t="shared" si="12"/>
        <v>190.14583333333334</v>
      </c>
    </row>
    <row r="27" spans="1:77" ht="20.100000000000001" customHeight="1">
      <c r="A27" s="55" t="s">
        <v>61</v>
      </c>
      <c r="B27" s="55" t="s">
        <v>191</v>
      </c>
      <c r="C27" s="55" t="s">
        <v>166</v>
      </c>
      <c r="D27" s="18"/>
      <c r="E27" s="18"/>
      <c r="F27" s="154"/>
      <c r="G27" s="154"/>
      <c r="H27" s="154"/>
      <c r="I27" s="154"/>
      <c r="J27" s="154"/>
      <c r="K27" s="154"/>
      <c r="L27" s="129"/>
      <c r="M27" s="130"/>
      <c r="N27" s="131"/>
      <c r="O27" s="129"/>
      <c r="P27" s="130"/>
      <c r="Q27" s="131"/>
      <c r="R27" s="129"/>
      <c r="S27" s="130"/>
      <c r="T27" s="138"/>
      <c r="U27" s="227">
        <f t="shared" si="2"/>
        <v>0</v>
      </c>
      <c r="V27" s="17" t="str">
        <f t="shared" si="9"/>
        <v>-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>
        <v>189</v>
      </c>
      <c r="AI27" s="18">
        <v>141</v>
      </c>
      <c r="AJ27" s="18">
        <v>180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3"/>
      <c r="BE27" s="13"/>
      <c r="BF27" s="13"/>
      <c r="BG27" s="5"/>
      <c r="BH27" s="18">
        <v>135</v>
      </c>
      <c r="BI27" s="18">
        <v>171</v>
      </c>
      <c r="BJ27" s="18"/>
      <c r="BK27" s="18"/>
      <c r="BL27" s="18"/>
      <c r="BM27" s="18">
        <v>167</v>
      </c>
      <c r="BN27" s="18">
        <v>181</v>
      </c>
      <c r="BO27" s="18">
        <v>171</v>
      </c>
      <c r="BP27" s="18"/>
      <c r="BQ27" s="18"/>
      <c r="BR27" s="18">
        <v>191</v>
      </c>
      <c r="BS27" s="18">
        <v>169</v>
      </c>
      <c r="BT27" s="18">
        <v>165</v>
      </c>
      <c r="BU27" s="147"/>
      <c r="BV27" s="144">
        <f t="shared" si="10"/>
        <v>0</v>
      </c>
      <c r="BW27" s="144">
        <f>IFERROR(IF(COUNT($E27:BU27)&gt;10,SUM(INDEX(((E27:BU27&lt;&gt;"")*COLUMN(E27:BU27)&lt;LARGE(INDEX((E27:BU27&lt;&gt;"")*COLUMN(E27:BU27),),COUNT($E27:BU27)-10))*E27:BU27,))/10,SUM($E27:BT27)/COUNT($E27:BT27)),0)</f>
        <v>0</v>
      </c>
      <c r="BX27" s="163">
        <f t="shared" si="11"/>
        <v>0</v>
      </c>
      <c r="BY27" s="163">
        <f t="shared" si="12"/>
        <v>0</v>
      </c>
    </row>
    <row r="28" spans="1:77" ht="20.100000000000001" customHeight="1">
      <c r="A28" s="59" t="s">
        <v>56</v>
      </c>
      <c r="B28" s="59" t="s">
        <v>191</v>
      </c>
      <c r="C28" s="59" t="s">
        <v>161</v>
      </c>
      <c r="D28" s="60">
        <v>12</v>
      </c>
      <c r="E28" s="18"/>
      <c r="F28" s="154"/>
      <c r="G28" s="154"/>
      <c r="H28" s="154"/>
      <c r="I28" s="154"/>
      <c r="J28" s="154"/>
      <c r="K28" s="154"/>
      <c r="L28" s="129"/>
      <c r="M28" s="130"/>
      <c r="N28" s="131"/>
      <c r="O28" s="129">
        <v>118</v>
      </c>
      <c r="P28" s="130">
        <v>173</v>
      </c>
      <c r="Q28" s="131">
        <v>130</v>
      </c>
      <c r="R28" s="129"/>
      <c r="S28" s="130"/>
      <c r="T28" s="138"/>
      <c r="U28" s="227">
        <f t="shared" si="2"/>
        <v>173</v>
      </c>
      <c r="V28" s="17">
        <f t="shared" si="9"/>
        <v>140.33333333333334</v>
      </c>
      <c r="W28" s="18"/>
      <c r="X28" s="18"/>
      <c r="Y28" s="18">
        <v>114</v>
      </c>
      <c r="Z28" s="18">
        <v>117</v>
      </c>
      <c r="AA28" s="18">
        <v>192</v>
      </c>
      <c r="AB28" s="18"/>
      <c r="AC28" s="18"/>
      <c r="AD28" s="18"/>
      <c r="AE28" s="28">
        <v>194</v>
      </c>
      <c r="AF28" s="28">
        <v>186</v>
      </c>
      <c r="AG28" s="28">
        <v>156</v>
      </c>
      <c r="AH28" s="18">
        <v>179</v>
      </c>
      <c r="AI28" s="18">
        <v>184</v>
      </c>
      <c r="AJ28" s="18">
        <v>162</v>
      </c>
      <c r="AK28" s="18"/>
      <c r="AL28" s="18"/>
      <c r="AM28" s="18"/>
      <c r="AN28" s="18">
        <f>161+12</f>
        <v>173</v>
      </c>
      <c r="AO28" s="18">
        <f>138+12</f>
        <v>150</v>
      </c>
      <c r="AP28" s="18">
        <f>130+12</f>
        <v>142</v>
      </c>
      <c r="AQ28" s="58"/>
      <c r="AR28" s="58"/>
      <c r="AS28" s="58"/>
      <c r="AT28" s="49">
        <v>128</v>
      </c>
      <c r="AU28" s="49">
        <v>181</v>
      </c>
      <c r="AV28" s="61">
        <v>191</v>
      </c>
      <c r="AW28" s="61">
        <v>138</v>
      </c>
      <c r="AX28" s="61">
        <v>173</v>
      </c>
      <c r="AY28" s="13"/>
      <c r="AZ28" s="13"/>
      <c r="BA28" s="13"/>
      <c r="BB28" s="13"/>
      <c r="BC28" s="13"/>
      <c r="BD28" s="15"/>
      <c r="BE28" s="15"/>
      <c r="BF28" s="15"/>
      <c r="BG28" s="5"/>
      <c r="BH28" s="13"/>
      <c r="BI28" s="13"/>
      <c r="BJ28" s="13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7"/>
      <c r="BV28" s="144">
        <f t="shared" si="10"/>
        <v>0</v>
      </c>
      <c r="BW28" s="144">
        <f>IFERROR(IF(COUNT($E28:BU28)&gt;10,SUM(INDEX(((E28:BU28&lt;&gt;"")*COLUMN(E28:BU28)&lt;LARGE(INDEX((E28:BU28&lt;&gt;"")*COLUMN(E28:BU28),),COUNT($E28:BU28)-10))*E28:BU28,))/10,SUM($E28:BT28)/COUNT($E28:BT28)),0)</f>
        <v>153.73333333333335</v>
      </c>
      <c r="BX28" s="163">
        <f t="shared" si="11"/>
        <v>173</v>
      </c>
      <c r="BY28" s="163">
        <f t="shared" si="12"/>
        <v>146.86666666666667</v>
      </c>
    </row>
    <row r="29" spans="1:77">
      <c r="A29" s="55" t="s">
        <v>79</v>
      </c>
      <c r="B29" s="55" t="s">
        <v>191</v>
      </c>
      <c r="C29" s="55" t="s">
        <v>160</v>
      </c>
      <c r="D29" s="18"/>
      <c r="E29" s="18"/>
      <c r="F29" s="154"/>
      <c r="G29" s="154"/>
      <c r="H29" s="154"/>
      <c r="I29" s="154"/>
      <c r="J29" s="154"/>
      <c r="K29" s="154"/>
      <c r="L29" s="129">
        <v>154</v>
      </c>
      <c r="M29" s="130">
        <v>124</v>
      </c>
      <c r="N29" s="131">
        <v>158</v>
      </c>
      <c r="O29" s="129">
        <v>124</v>
      </c>
      <c r="P29" s="130">
        <v>170</v>
      </c>
      <c r="Q29" s="131">
        <v>181</v>
      </c>
      <c r="R29" s="129">
        <v>116</v>
      </c>
      <c r="S29" s="130">
        <v>157</v>
      </c>
      <c r="T29" s="138">
        <v>171</v>
      </c>
      <c r="U29" s="227">
        <f t="shared" si="2"/>
        <v>181</v>
      </c>
      <c r="V29" s="17">
        <f t="shared" si="9"/>
        <v>150.55555555555554</v>
      </c>
      <c r="W29" s="18">
        <v>168</v>
      </c>
      <c r="X29" s="18">
        <v>125</v>
      </c>
      <c r="Y29" s="18"/>
      <c r="Z29" s="18"/>
      <c r="AA29" s="18"/>
      <c r="AB29" s="18">
        <v>165</v>
      </c>
      <c r="AC29" s="18">
        <v>131</v>
      </c>
      <c r="AD29" s="18">
        <v>161</v>
      </c>
      <c r="AE29" s="28">
        <v>148</v>
      </c>
      <c r="AF29" s="28">
        <v>131</v>
      </c>
      <c r="AG29" s="28">
        <v>180</v>
      </c>
      <c r="AH29" s="18">
        <v>133</v>
      </c>
      <c r="AI29" s="18">
        <v>136</v>
      </c>
      <c r="AJ29" s="18">
        <v>151</v>
      </c>
      <c r="AK29" s="18"/>
      <c r="AL29" s="18"/>
      <c r="AM29" s="18"/>
      <c r="AN29" s="67"/>
      <c r="AO29" s="67"/>
      <c r="AP29" s="67"/>
      <c r="AQ29" s="67">
        <v>179</v>
      </c>
      <c r="AR29" s="67">
        <v>149</v>
      </c>
      <c r="AS29" s="67">
        <v>169</v>
      </c>
      <c r="AT29" s="67">
        <v>198</v>
      </c>
      <c r="AU29" s="67">
        <v>126</v>
      </c>
      <c r="AV29" s="67">
        <v>124</v>
      </c>
      <c r="AW29" s="67">
        <v>126</v>
      </c>
      <c r="AX29" s="67">
        <v>147</v>
      </c>
      <c r="AY29" s="67"/>
      <c r="AZ29" s="67"/>
      <c r="BA29" s="67"/>
      <c r="BB29" s="67"/>
      <c r="BC29" s="67"/>
      <c r="BD29" s="80"/>
      <c r="BE29" s="80"/>
      <c r="BF29" s="80"/>
      <c r="BG29" s="5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47"/>
      <c r="BV29" s="144">
        <f t="shared" si="10"/>
        <v>0</v>
      </c>
      <c r="BW29" s="144">
        <f>IFERROR(IF(COUNT($E29:BU29)&gt;10,SUM(INDEX(((E29:BU29&lt;&gt;"")*COLUMN(E29:BU29)&lt;LARGE(INDEX((E29:BU29&lt;&gt;"")*COLUMN(E29:BU29),),COUNT($E29:BU29)-10))*E29:BU29,))/10,SUM($E29:BT29)/COUNT($E29:BT29)),0)</f>
        <v>153.6</v>
      </c>
      <c r="BX29" s="163">
        <f t="shared" si="11"/>
        <v>181</v>
      </c>
      <c r="BY29" s="163">
        <f t="shared" si="12"/>
        <v>153.32323232323233</v>
      </c>
    </row>
    <row r="30" spans="1:77">
      <c r="A30" s="55" t="s">
        <v>74</v>
      </c>
      <c r="B30" s="55" t="s">
        <v>192</v>
      </c>
      <c r="C30" s="55" t="s">
        <v>157</v>
      </c>
      <c r="D30" s="18">
        <v>15</v>
      </c>
      <c r="E30" s="14"/>
      <c r="F30" s="42"/>
      <c r="G30" s="42"/>
      <c r="H30" s="42"/>
      <c r="I30" s="42"/>
      <c r="J30" s="42"/>
      <c r="K30" s="42"/>
      <c r="L30" s="126"/>
      <c r="M30" s="127"/>
      <c r="N30" s="128"/>
      <c r="O30" s="126"/>
      <c r="P30" s="127"/>
      <c r="Q30" s="128"/>
      <c r="R30" s="126"/>
      <c r="S30" s="127"/>
      <c r="T30" s="137"/>
      <c r="U30" s="228"/>
      <c r="V30" s="17"/>
      <c r="W30" s="14"/>
      <c r="X30" s="14"/>
      <c r="Y30" s="14"/>
      <c r="Z30" s="14"/>
      <c r="AA30" s="14"/>
      <c r="AB30" s="14"/>
      <c r="AC30" s="14"/>
      <c r="AD30" s="14"/>
      <c r="AE30" s="28">
        <v>109</v>
      </c>
      <c r="AF30" s="28">
        <v>87</v>
      </c>
      <c r="AG30" s="28">
        <v>121</v>
      </c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5"/>
      <c r="BE30" s="15"/>
      <c r="BF30" s="15"/>
      <c r="BG30" s="5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7"/>
      <c r="BV30" s="144">
        <f>IFERROR(SUM($E30:$N30)/3,0)</f>
        <v>0</v>
      </c>
      <c r="BW30" s="144">
        <f>IFERROR(IF(COUNT($E30:BU30)&gt;10,SUM(INDEX(((E30:BU30&lt;&gt;"")*COLUMN(E30:BU30)&lt;LARGE(INDEX((E30:BU30&lt;&gt;"")*COLUMN(E30:BU30),),COUNT($E30:BU30)-10))*E30:BU30,))/10,SUM($E30:BT30)/COUNT($E30:BT30)),0)</f>
        <v>105.66666666666667</v>
      </c>
      <c r="BX30"/>
      <c r="BY30"/>
    </row>
    <row r="31" spans="1:77" ht="20.100000000000001" customHeight="1">
      <c r="A31" s="55" t="s">
        <v>72</v>
      </c>
      <c r="B31" s="55" t="s">
        <v>191</v>
      </c>
      <c r="C31" s="55" t="s">
        <v>160</v>
      </c>
      <c r="D31" s="18"/>
      <c r="E31" s="14"/>
      <c r="F31" s="42"/>
      <c r="G31" s="42"/>
      <c r="H31" s="42"/>
      <c r="I31" s="42"/>
      <c r="J31" s="42"/>
      <c r="K31" s="42"/>
      <c r="L31" s="126"/>
      <c r="M31" s="127"/>
      <c r="N31" s="128"/>
      <c r="O31" s="126">
        <v>127</v>
      </c>
      <c r="P31" s="127">
        <v>123</v>
      </c>
      <c r="Q31" s="128">
        <v>175</v>
      </c>
      <c r="R31" s="126">
        <v>162</v>
      </c>
      <c r="S31" s="127">
        <v>112</v>
      </c>
      <c r="T31" s="137">
        <v>168</v>
      </c>
      <c r="U31" s="227">
        <f t="shared" si="2"/>
        <v>175</v>
      </c>
      <c r="V31" s="17">
        <f t="shared" ref="V31:V38" si="13">IFERROR(SUM(E31:T31)/COUNT(E31:T31),"-")</f>
        <v>144.5</v>
      </c>
      <c r="W31" s="14">
        <v>170</v>
      </c>
      <c r="X31" s="14">
        <v>144</v>
      </c>
      <c r="Y31" s="14">
        <v>156</v>
      </c>
      <c r="Z31" s="14">
        <v>170</v>
      </c>
      <c r="AA31" s="14">
        <v>159</v>
      </c>
      <c r="AB31" s="18">
        <v>145</v>
      </c>
      <c r="AC31" s="18">
        <v>133</v>
      </c>
      <c r="AD31" s="18">
        <v>180</v>
      </c>
      <c r="AE31" s="14"/>
      <c r="AF31" s="14"/>
      <c r="AG31" s="14"/>
      <c r="AH31" s="14"/>
      <c r="AI31" s="14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3"/>
      <c r="BE31" s="13"/>
      <c r="BF31" s="13"/>
      <c r="BG31" s="5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47"/>
      <c r="BV31" s="144">
        <f t="shared" ref="BV31:BV38" si="14">IFERROR(SUM($F31:$H31)/3,0)</f>
        <v>0</v>
      </c>
      <c r="BW31" s="144">
        <f>IFERROR(IF(COUNT($E31:BU31)&gt;10,SUM(INDEX(((E31:BU31&lt;&gt;"")*COLUMN(E31:BU31)&lt;LARGE(INDEX((E31:BU31&lt;&gt;"")*COLUMN(E31:BU31),),COUNT($E31:BU31)-10))*E31:BU31,))/10,SUM($E31:BT31)/COUNT($E31:BT31)),0)</f>
        <v>150.05000000000001</v>
      </c>
      <c r="BX31" s="163">
        <f t="shared" ref="BX31:BX38" si="15">MAX(E31:T31)</f>
        <v>175</v>
      </c>
      <c r="BY31" s="163">
        <f t="shared" ref="BY31:BY38" si="16">AVERAGE(I31:V31)</f>
        <v>148.3125</v>
      </c>
    </row>
    <row r="32" spans="1:77" ht="20.100000000000001" customHeight="1">
      <c r="A32" s="55" t="s">
        <v>69</v>
      </c>
      <c r="B32" s="55" t="s">
        <v>191</v>
      </c>
      <c r="C32" s="55" t="s">
        <v>166</v>
      </c>
      <c r="D32" s="18"/>
      <c r="E32" s="18"/>
      <c r="F32" s="154"/>
      <c r="G32" s="154"/>
      <c r="H32" s="154"/>
      <c r="I32" s="154"/>
      <c r="J32" s="154"/>
      <c r="K32" s="154"/>
      <c r="L32" s="129"/>
      <c r="M32" s="130"/>
      <c r="N32" s="131"/>
      <c r="O32" s="129"/>
      <c r="P32" s="130"/>
      <c r="Q32" s="131"/>
      <c r="R32" s="129"/>
      <c r="S32" s="130"/>
      <c r="T32" s="138"/>
      <c r="U32" s="227">
        <f t="shared" si="2"/>
        <v>0</v>
      </c>
      <c r="V32" s="17" t="str">
        <f t="shared" si="13"/>
        <v>-</v>
      </c>
      <c r="W32" s="18"/>
      <c r="X32" s="18"/>
      <c r="Y32" s="18">
        <v>142</v>
      </c>
      <c r="Z32" s="18">
        <v>183</v>
      </c>
      <c r="AA32" s="18">
        <v>191</v>
      </c>
      <c r="AB32" s="18"/>
      <c r="AC32" s="18"/>
      <c r="AD32" s="18"/>
      <c r="AE32" s="18"/>
      <c r="AF32" s="18"/>
      <c r="AG32" s="18"/>
      <c r="AH32" s="18">
        <v>124</v>
      </c>
      <c r="AI32" s="18">
        <v>125</v>
      </c>
      <c r="AJ32" s="18">
        <v>146</v>
      </c>
      <c r="AK32" s="18"/>
      <c r="AL32" s="18"/>
      <c r="AM32" s="18"/>
      <c r="AN32" s="18"/>
      <c r="AO32" s="18"/>
      <c r="AP32" s="18"/>
      <c r="AQ32" s="58"/>
      <c r="AR32" s="58"/>
      <c r="AS32" s="58"/>
      <c r="AT32" s="18"/>
      <c r="AU32" s="18"/>
      <c r="AV32" s="18"/>
      <c r="AW32" s="18"/>
      <c r="AX32" s="18"/>
      <c r="AY32" s="18"/>
      <c r="AZ32" s="18"/>
      <c r="BA32" s="18">
        <v>141</v>
      </c>
      <c r="BB32" s="18">
        <v>155</v>
      </c>
      <c r="BC32" s="18">
        <v>145</v>
      </c>
      <c r="BD32" s="13"/>
      <c r="BE32" s="13"/>
      <c r="BF32" s="13"/>
      <c r="BG32" s="5"/>
      <c r="BH32" s="18">
        <v>152</v>
      </c>
      <c r="BI32" s="18">
        <v>149</v>
      </c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47"/>
      <c r="BV32" s="144">
        <f t="shared" si="14"/>
        <v>0</v>
      </c>
      <c r="BW32" s="144">
        <f>IFERROR(IF(COUNT($E32:BU32)&gt;10,SUM(INDEX(((E32:BU32&lt;&gt;"")*COLUMN(E32:BU32)&lt;LARGE(INDEX((E32:BU32&lt;&gt;"")*COLUMN(E32:BU32),),COUNT($E32:BU32)-10))*E32:BU32,))/10,SUM($E32:BT32)/COUNT($E32:BT32)),0)</f>
        <v>0</v>
      </c>
      <c r="BX32" s="163">
        <f t="shared" si="15"/>
        <v>0</v>
      </c>
      <c r="BY32" s="163">
        <f t="shared" si="16"/>
        <v>0</v>
      </c>
    </row>
    <row r="33" spans="1:77" ht="20.100000000000001" customHeight="1">
      <c r="A33" s="55" t="s">
        <v>50</v>
      </c>
      <c r="B33" s="55" t="s">
        <v>191</v>
      </c>
      <c r="C33" s="55" t="s">
        <v>155</v>
      </c>
      <c r="D33" s="18"/>
      <c r="E33" s="18"/>
      <c r="F33" s="154"/>
      <c r="G33" s="154"/>
      <c r="H33" s="154"/>
      <c r="I33" s="154"/>
      <c r="J33" s="154"/>
      <c r="K33" s="154"/>
      <c r="L33" s="129">
        <v>182</v>
      </c>
      <c r="M33" s="130">
        <v>162</v>
      </c>
      <c r="N33" s="131">
        <v>130</v>
      </c>
      <c r="O33" s="129"/>
      <c r="P33" s="130"/>
      <c r="Q33" s="131"/>
      <c r="R33" s="129"/>
      <c r="S33" s="130"/>
      <c r="T33" s="138"/>
      <c r="U33" s="227">
        <f t="shared" si="2"/>
        <v>182</v>
      </c>
      <c r="V33" s="17">
        <f t="shared" si="13"/>
        <v>158</v>
      </c>
      <c r="W33" s="18"/>
      <c r="X33" s="18"/>
      <c r="Y33" s="18">
        <v>175</v>
      </c>
      <c r="Z33" s="18">
        <v>137</v>
      </c>
      <c r="AA33" s="18">
        <v>142</v>
      </c>
      <c r="AB33" s="18">
        <v>139</v>
      </c>
      <c r="AC33" s="18">
        <v>138</v>
      </c>
      <c r="AD33" s="18">
        <v>145</v>
      </c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>
        <v>151</v>
      </c>
      <c r="AR33" s="18">
        <v>159</v>
      </c>
      <c r="AS33" s="18">
        <v>145</v>
      </c>
      <c r="AT33" s="20">
        <v>225</v>
      </c>
      <c r="AU33" s="18">
        <v>171</v>
      </c>
      <c r="AV33" s="18">
        <v>175</v>
      </c>
      <c r="AW33" s="18">
        <v>166</v>
      </c>
      <c r="AX33" s="18">
        <v>199</v>
      </c>
      <c r="AY33" s="18">
        <v>120</v>
      </c>
      <c r="AZ33" s="18">
        <v>165</v>
      </c>
      <c r="BA33" s="18"/>
      <c r="BB33" s="18"/>
      <c r="BC33" s="18"/>
      <c r="BD33" s="13"/>
      <c r="BE33" s="13"/>
      <c r="BF33" s="13"/>
      <c r="BG33" s="5"/>
      <c r="BH33" s="18"/>
      <c r="BI33" s="18"/>
      <c r="BJ33" s="18"/>
      <c r="BK33" s="18"/>
      <c r="BL33" s="18"/>
      <c r="BM33" s="18">
        <v>124</v>
      </c>
      <c r="BN33" s="18">
        <v>168</v>
      </c>
      <c r="BO33" s="18">
        <v>169</v>
      </c>
      <c r="BP33" s="18">
        <v>141</v>
      </c>
      <c r="BQ33" s="18">
        <v>202</v>
      </c>
      <c r="BR33" s="18"/>
      <c r="BS33" s="18"/>
      <c r="BT33" s="18"/>
      <c r="BU33" s="147"/>
      <c r="BV33" s="144">
        <f t="shared" si="14"/>
        <v>0</v>
      </c>
      <c r="BW33" s="144">
        <f>IFERROR(IF(COUNT($E33:BU33)&gt;10,SUM(INDEX(((E33:BU33&lt;&gt;"")*COLUMN(E33:BU33)&lt;LARGE(INDEX((E33:BU33&lt;&gt;"")*COLUMN(E33:BU33),),COUNT($E33:BU33)-10))*E33:BU33,))/10,SUM($E33:BT33)/COUNT($E33:BT33)),0)</f>
        <v>154.5</v>
      </c>
      <c r="BX33" s="163">
        <f t="shared" si="15"/>
        <v>182</v>
      </c>
      <c r="BY33" s="163">
        <f t="shared" si="16"/>
        <v>162.80000000000001</v>
      </c>
    </row>
    <row r="34" spans="1:77" ht="20.100000000000001" customHeight="1">
      <c r="A34" s="59" t="s">
        <v>77</v>
      </c>
      <c r="B34" s="59" t="s">
        <v>191</v>
      </c>
      <c r="C34" s="59" t="s">
        <v>167</v>
      </c>
      <c r="D34" s="60">
        <v>12</v>
      </c>
      <c r="E34" s="18"/>
      <c r="F34" s="154"/>
      <c r="G34" s="154"/>
      <c r="H34" s="154"/>
      <c r="I34" s="154"/>
      <c r="J34" s="154"/>
      <c r="K34" s="154"/>
      <c r="L34" s="129"/>
      <c r="M34" s="130"/>
      <c r="N34" s="131"/>
      <c r="O34" s="129">
        <v>128</v>
      </c>
      <c r="P34" s="130">
        <v>145</v>
      </c>
      <c r="Q34" s="131">
        <v>140</v>
      </c>
      <c r="R34" s="129"/>
      <c r="S34" s="130"/>
      <c r="T34" s="138"/>
      <c r="U34" s="227">
        <f t="shared" si="2"/>
        <v>145</v>
      </c>
      <c r="V34" s="17">
        <f t="shared" si="13"/>
        <v>137.66666666666666</v>
      </c>
      <c r="W34" s="18"/>
      <c r="X34" s="18"/>
      <c r="Y34" s="18">
        <v>180</v>
      </c>
      <c r="Z34" s="18">
        <v>165</v>
      </c>
      <c r="AA34" s="18">
        <v>152</v>
      </c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58">
        <v>127</v>
      </c>
      <c r="AR34" s="58">
        <v>126</v>
      </c>
      <c r="AS34" s="58">
        <v>145</v>
      </c>
      <c r="AT34" s="61"/>
      <c r="AU34" s="61"/>
      <c r="AV34" s="61">
        <v>107</v>
      </c>
      <c r="AW34" s="61">
        <v>132</v>
      </c>
      <c r="AX34" s="61">
        <v>112</v>
      </c>
      <c r="AY34" s="18">
        <v>112</v>
      </c>
      <c r="AZ34" s="18">
        <v>126</v>
      </c>
      <c r="BA34" s="68">
        <v>148</v>
      </c>
      <c r="BB34" s="68">
        <v>116</v>
      </c>
      <c r="BC34" s="68">
        <v>139</v>
      </c>
      <c r="BD34" s="18">
        <v>116</v>
      </c>
      <c r="BE34" s="18">
        <v>173</v>
      </c>
      <c r="BF34" s="18">
        <v>171</v>
      </c>
      <c r="BG34" s="5"/>
      <c r="BH34" s="18">
        <v>120</v>
      </c>
      <c r="BI34" s="18">
        <v>138</v>
      </c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47"/>
      <c r="BV34" s="144">
        <f t="shared" si="14"/>
        <v>0</v>
      </c>
      <c r="BW34" s="144">
        <f>IFERROR(IF(COUNT($E34:BU34)&gt;10,SUM(INDEX(((E34:BU34&lt;&gt;"")*COLUMN(E34:BU34)&lt;LARGE(INDEX((E34:BU34&lt;&gt;"")*COLUMN(E34:BU34),),COUNT($E34:BU34)-10))*E34:BU34,))/10,SUM($E34:BT34)/COUNT($E34:BT34)),0)</f>
        <v>144.56666666666666</v>
      </c>
      <c r="BX34" s="163">
        <f t="shared" si="15"/>
        <v>145</v>
      </c>
      <c r="BY34" s="163">
        <f t="shared" si="16"/>
        <v>139.13333333333333</v>
      </c>
    </row>
    <row r="35" spans="1:77" ht="20.100000000000001" customHeight="1">
      <c r="A35" s="48" t="s">
        <v>64</v>
      </c>
      <c r="B35" s="48" t="s">
        <v>191</v>
      </c>
      <c r="C35" s="48" t="s">
        <v>160</v>
      </c>
      <c r="D35" s="49">
        <v>10</v>
      </c>
      <c r="E35" s="18"/>
      <c r="F35" s="154"/>
      <c r="G35" s="154"/>
      <c r="H35" s="154"/>
      <c r="I35" s="154"/>
      <c r="J35" s="154"/>
      <c r="K35" s="154"/>
      <c r="L35" s="129"/>
      <c r="M35" s="130"/>
      <c r="N35" s="131"/>
      <c r="O35" s="129"/>
      <c r="P35" s="130"/>
      <c r="Q35" s="131"/>
      <c r="R35" s="129"/>
      <c r="S35" s="130"/>
      <c r="T35" s="138"/>
      <c r="U35" s="227">
        <f t="shared" si="2"/>
        <v>0</v>
      </c>
      <c r="V35" s="17" t="str">
        <f t="shared" si="13"/>
        <v>-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>
        <v>134</v>
      </c>
      <c r="AI35" s="18">
        <v>102</v>
      </c>
      <c r="AJ35" s="18">
        <v>122</v>
      </c>
      <c r="AK35" s="18">
        <v>129</v>
      </c>
      <c r="AL35" s="18">
        <v>112</v>
      </c>
      <c r="AM35" s="18">
        <v>121</v>
      </c>
      <c r="AN35" s="18"/>
      <c r="AO35" s="18"/>
      <c r="AP35" s="18"/>
      <c r="AQ35" s="58"/>
      <c r="AR35" s="58"/>
      <c r="AS35" s="58"/>
      <c r="AT35" s="61"/>
      <c r="AU35" s="61"/>
      <c r="AV35" s="61"/>
      <c r="AW35" s="61"/>
      <c r="AX35" s="61"/>
      <c r="AY35" s="18"/>
      <c r="AZ35" s="18"/>
      <c r="BA35" s="68">
        <v>115</v>
      </c>
      <c r="BB35" s="68">
        <v>133</v>
      </c>
      <c r="BC35" s="68">
        <v>167</v>
      </c>
      <c r="BD35" s="13"/>
      <c r="BE35" s="13"/>
      <c r="BF35" s="13"/>
      <c r="BG35" s="5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47"/>
      <c r="BV35" s="144">
        <f t="shared" si="14"/>
        <v>0</v>
      </c>
      <c r="BW35" s="144">
        <f>IFERROR(IF(COUNT($E35:BU35)&gt;10,SUM(INDEX(((E35:BU35&lt;&gt;"")*COLUMN(E35:BU35)&lt;LARGE(INDEX((E35:BU35&lt;&gt;"")*COLUMN(E35:BU35),),COUNT($E35:BU35)-10))*E35:BU35,))/10,SUM($E35:BT35)/COUNT($E35:BT35)),0)</f>
        <v>113.5</v>
      </c>
      <c r="BX35" s="163">
        <f t="shared" si="15"/>
        <v>0</v>
      </c>
      <c r="BY35" s="163">
        <f t="shared" si="16"/>
        <v>0</v>
      </c>
    </row>
    <row r="36" spans="1:77" ht="20.100000000000001" customHeight="1">
      <c r="A36" s="56" t="s">
        <v>51</v>
      </c>
      <c r="B36" s="56" t="s">
        <v>191</v>
      </c>
      <c r="C36" s="56" t="s">
        <v>161</v>
      </c>
      <c r="D36" s="57">
        <v>15</v>
      </c>
      <c r="E36" s="18"/>
      <c r="F36" s="154"/>
      <c r="G36" s="154"/>
      <c r="H36" s="154"/>
      <c r="I36" s="154"/>
      <c r="J36" s="154"/>
      <c r="K36" s="154"/>
      <c r="L36" s="129"/>
      <c r="M36" s="130"/>
      <c r="N36" s="131"/>
      <c r="O36" s="129"/>
      <c r="P36" s="130"/>
      <c r="Q36" s="131"/>
      <c r="R36" s="129"/>
      <c r="S36" s="130"/>
      <c r="T36" s="138"/>
      <c r="U36" s="227">
        <f t="shared" si="2"/>
        <v>0</v>
      </c>
      <c r="V36" s="17" t="str">
        <f t="shared" si="13"/>
        <v>-</v>
      </c>
      <c r="W36" s="18"/>
      <c r="X36" s="18"/>
      <c r="Y36" s="18">
        <v>88</v>
      </c>
      <c r="Z36" s="18">
        <v>96</v>
      </c>
      <c r="AA36" s="18">
        <v>115</v>
      </c>
      <c r="AB36" s="18"/>
      <c r="AC36" s="18"/>
      <c r="AD36" s="18"/>
      <c r="AE36" s="18"/>
      <c r="AF36" s="18"/>
      <c r="AG36" s="18"/>
      <c r="AH36" s="18">
        <v>113</v>
      </c>
      <c r="AI36" s="18">
        <v>93</v>
      </c>
      <c r="AJ36" s="18">
        <v>109</v>
      </c>
      <c r="AK36" s="18"/>
      <c r="AL36" s="18"/>
      <c r="AM36" s="18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5"/>
      <c r="BE36" s="15"/>
      <c r="BF36" s="15"/>
      <c r="BG36" s="5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7"/>
      <c r="BV36" s="144">
        <f t="shared" si="14"/>
        <v>0</v>
      </c>
      <c r="BW36" s="144">
        <f>IFERROR(IF(COUNT($E36:BU36)&gt;10,SUM(INDEX(((E36:BU36&lt;&gt;"")*COLUMN(E36:BU36)&lt;LARGE(INDEX((E36:BU36&lt;&gt;"")*COLUMN(E36:BU36),),COUNT($E36:BU36)-10))*E36:BU36,))/10,SUM($E36:BT36)/COUNT($E36:BT36)),0)</f>
        <v>87.714285714285708</v>
      </c>
      <c r="BX36" s="163">
        <f t="shared" si="15"/>
        <v>0</v>
      </c>
      <c r="BY36" s="163">
        <f t="shared" si="16"/>
        <v>0</v>
      </c>
    </row>
    <row r="37" spans="1:77" ht="20.100000000000001" customHeight="1">
      <c r="A37" s="56" t="s">
        <v>52</v>
      </c>
      <c r="B37" s="56" t="s">
        <v>191</v>
      </c>
      <c r="C37" s="56" t="s">
        <v>162</v>
      </c>
      <c r="D37" s="57">
        <v>15</v>
      </c>
      <c r="E37" s="18"/>
      <c r="F37" s="154"/>
      <c r="G37" s="154"/>
      <c r="H37" s="154"/>
      <c r="I37" s="154"/>
      <c r="J37" s="154"/>
      <c r="K37" s="154"/>
      <c r="L37" s="129"/>
      <c r="M37" s="130"/>
      <c r="N37" s="131"/>
      <c r="O37" s="129"/>
      <c r="P37" s="130"/>
      <c r="Q37" s="131"/>
      <c r="R37" s="129"/>
      <c r="S37" s="130"/>
      <c r="T37" s="138"/>
      <c r="U37" s="227">
        <f t="shared" si="2"/>
        <v>0</v>
      </c>
      <c r="V37" s="17" t="str">
        <f t="shared" si="13"/>
        <v>-</v>
      </c>
      <c r="W37" s="18"/>
      <c r="X37" s="18"/>
      <c r="Y37" s="18">
        <v>90</v>
      </c>
      <c r="Z37" s="18">
        <v>93</v>
      </c>
      <c r="AA37" s="18">
        <v>77</v>
      </c>
      <c r="AB37" s="18">
        <v>51</v>
      </c>
      <c r="AC37" s="18">
        <v>76</v>
      </c>
      <c r="AD37" s="18">
        <v>94</v>
      </c>
      <c r="AE37" s="28">
        <v>67</v>
      </c>
      <c r="AF37" s="28">
        <v>43</v>
      </c>
      <c r="AG37" s="28">
        <v>65</v>
      </c>
      <c r="AH37" s="18"/>
      <c r="AI37" s="18"/>
      <c r="AJ37" s="18"/>
      <c r="AK37" s="18"/>
      <c r="AL37" s="18"/>
      <c r="AM37" s="18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5"/>
      <c r="BE37" s="15"/>
      <c r="BF37" s="15"/>
      <c r="BG37" s="5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7"/>
      <c r="BV37" s="144">
        <f t="shared" si="14"/>
        <v>0</v>
      </c>
      <c r="BW37" s="144">
        <f>IFERROR(IF(COUNT($E37:BU37)&gt;10,SUM(INDEX(((E37:BU37&lt;&gt;"")*COLUMN(E37:BU37)&lt;LARGE(INDEX((E37:BU37&lt;&gt;"")*COLUMN(E37:BU37),),COUNT($E37:BU37)-10))*E37:BU37,))/10,SUM($E37:BT37)/COUNT($E37:BT37)),0)</f>
        <v>65.599999999999994</v>
      </c>
      <c r="BX37" s="163">
        <f t="shared" si="15"/>
        <v>0</v>
      </c>
      <c r="BY37" s="163">
        <f t="shared" si="16"/>
        <v>0</v>
      </c>
    </row>
    <row r="38" spans="1:77" ht="20.100000000000001" customHeight="1">
      <c r="A38" s="55" t="s">
        <v>55</v>
      </c>
      <c r="B38" s="55" t="s">
        <v>191</v>
      </c>
      <c r="C38" s="55" t="s">
        <v>164</v>
      </c>
      <c r="D38" s="18"/>
      <c r="E38" s="18"/>
      <c r="F38" s="154"/>
      <c r="G38" s="154"/>
      <c r="H38" s="154"/>
      <c r="I38" s="154"/>
      <c r="J38" s="154"/>
      <c r="K38" s="154"/>
      <c r="L38" s="129"/>
      <c r="M38" s="130"/>
      <c r="N38" s="131"/>
      <c r="O38" s="129"/>
      <c r="P38" s="130"/>
      <c r="Q38" s="131"/>
      <c r="R38" s="129"/>
      <c r="S38" s="130"/>
      <c r="T38" s="138"/>
      <c r="U38" s="227">
        <f t="shared" si="2"/>
        <v>0</v>
      </c>
      <c r="V38" s="17" t="str">
        <f t="shared" si="13"/>
        <v>-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3"/>
      <c r="BE38" s="13"/>
      <c r="BF38" s="13"/>
      <c r="BG38" s="5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47"/>
      <c r="BV38" s="144">
        <f t="shared" si="14"/>
        <v>0</v>
      </c>
      <c r="BW38" s="144">
        <f>IFERROR(IF(COUNT($E38:BU38)&gt;10,SUM(INDEX(((E38:BU38&lt;&gt;"")*COLUMN(E38:BU38)&lt;LARGE(INDEX((E38:BU38&lt;&gt;"")*COLUMN(E38:BU38),),COUNT($E38:BU38)-10))*E38:BU38,))/10,SUM($E38:BT38)/COUNT($E38:BT38)),0)</f>
        <v>0</v>
      </c>
      <c r="BX38" s="163">
        <f t="shared" si="15"/>
        <v>0</v>
      </c>
      <c r="BY38" s="163">
        <f t="shared" si="16"/>
        <v>0</v>
      </c>
    </row>
  </sheetData>
  <autoFilter ref="A3:WXV38">
    <filterColumn colId="1">
      <filters>
        <filter val="Y"/>
      </filters>
    </filterColumn>
    <sortState ref="A5:WXV38">
      <sortCondition descending="1" ref="BV3:BV38"/>
    </sortState>
  </autoFilter>
  <mergeCells count="23">
    <mergeCell ref="AN2:AP2"/>
    <mergeCell ref="AQ2:AS2"/>
    <mergeCell ref="Y2:AA2"/>
    <mergeCell ref="AB2:AD2"/>
    <mergeCell ref="AE2:AG2"/>
    <mergeCell ref="AH2:AJ2"/>
    <mergeCell ref="AK2:AM2"/>
    <mergeCell ref="F2:H2"/>
    <mergeCell ref="BM2:BO2"/>
    <mergeCell ref="BP2:BQ2"/>
    <mergeCell ref="BR2:BT2"/>
    <mergeCell ref="AV2:AX2"/>
    <mergeCell ref="AY2:AZ2"/>
    <mergeCell ref="BA2:BC2"/>
    <mergeCell ref="BD2:BF2"/>
    <mergeCell ref="BH2:BI2"/>
    <mergeCell ref="BJ2:BL2"/>
    <mergeCell ref="I2:K2"/>
    <mergeCell ref="AT2:AU2"/>
    <mergeCell ref="L2:N2"/>
    <mergeCell ref="O2:Q2"/>
    <mergeCell ref="R2:T2"/>
    <mergeCell ref="W2:X2"/>
  </mergeCells>
  <phoneticPr fontId="2" type="noConversion"/>
  <conditionalFormatting sqref="B4:BW40">
    <cfRule type="cellIs" dxfId="731" priority="53" operator="greaterThanOrEqual">
      <formula>200</formula>
    </cfRule>
  </conditionalFormatting>
  <conditionalFormatting sqref="AK22:AM26">
    <cfRule type="expression" dxfId="730" priority="52">
      <formula>"&gt;=200"</formula>
    </cfRule>
  </conditionalFormatting>
  <conditionalFormatting sqref="AK22:AM26">
    <cfRule type="cellIs" dxfId="729" priority="50" operator="greaterThanOrEqual">
      <formula>200</formula>
    </cfRule>
    <cfRule type="expression" dxfId="728" priority="51">
      <formula>"&gt;=200"</formula>
    </cfRule>
  </conditionalFormatting>
  <conditionalFormatting sqref="AH4:AJ4">
    <cfRule type="cellIs" dxfId="727" priority="49" operator="greaterThanOrEqual">
      <formula>200</formula>
    </cfRule>
  </conditionalFormatting>
  <conditionalFormatting sqref="AH14:AJ14">
    <cfRule type="cellIs" dxfId="726" priority="48" operator="greaterThanOrEqual">
      <formula>200</formula>
    </cfRule>
  </conditionalFormatting>
  <conditionalFormatting sqref="AH10:AJ10">
    <cfRule type="cellIs" dxfId="725" priority="47" operator="greaterThanOrEqual">
      <formula>200</formula>
    </cfRule>
  </conditionalFormatting>
  <conditionalFormatting sqref="AH5:AJ5">
    <cfRule type="cellIs" dxfId="724" priority="46" operator="greaterThanOrEqual">
      <formula>200</formula>
    </cfRule>
  </conditionalFormatting>
  <conditionalFormatting sqref="AH8:AJ8">
    <cfRule type="cellIs" dxfId="723" priority="45" operator="greaterThanOrEqual">
      <formula>200</formula>
    </cfRule>
  </conditionalFormatting>
  <conditionalFormatting sqref="AH16:AJ16">
    <cfRule type="cellIs" dxfId="722" priority="44" operator="greaterThanOrEqual">
      <formula>200</formula>
    </cfRule>
  </conditionalFormatting>
  <conditionalFormatting sqref="AH7:AJ7">
    <cfRule type="cellIs" dxfId="721" priority="43" operator="greaterThanOrEqual">
      <formula>200</formula>
    </cfRule>
  </conditionalFormatting>
  <conditionalFormatting sqref="AH9:AJ9">
    <cfRule type="cellIs" dxfId="720" priority="42" operator="greaterThanOrEqual">
      <formula>200</formula>
    </cfRule>
  </conditionalFormatting>
  <conditionalFormatting sqref="AH20:AJ20">
    <cfRule type="cellIs" dxfId="719" priority="41" operator="greaterThanOrEqual">
      <formula>200</formula>
    </cfRule>
  </conditionalFormatting>
  <conditionalFormatting sqref="AH12:AJ12">
    <cfRule type="cellIs" dxfId="718" priority="40" operator="greaterThanOrEqual">
      <formula>200</formula>
    </cfRule>
  </conditionalFormatting>
  <conditionalFormatting sqref="AH6:AJ6">
    <cfRule type="cellIs" dxfId="717" priority="39" operator="greaterThanOrEqual">
      <formula>200</formula>
    </cfRule>
  </conditionalFormatting>
  <conditionalFormatting sqref="AH17:AJ17">
    <cfRule type="cellIs" dxfId="716" priority="38" operator="greaterThanOrEqual">
      <formula>200</formula>
    </cfRule>
  </conditionalFormatting>
  <conditionalFormatting sqref="AH22:AJ22">
    <cfRule type="cellIs" dxfId="715" priority="37" operator="greaterThanOrEqual">
      <formula>200</formula>
    </cfRule>
  </conditionalFormatting>
  <conditionalFormatting sqref="AH19:AJ19">
    <cfRule type="cellIs" dxfId="714" priority="36" operator="greaterThanOrEqual">
      <formula>200</formula>
    </cfRule>
  </conditionalFormatting>
  <conditionalFormatting sqref="AH25:AJ25">
    <cfRule type="cellIs" dxfId="713" priority="35" operator="greaterThanOrEqual">
      <formula>200</formula>
    </cfRule>
  </conditionalFormatting>
  <conditionalFormatting sqref="AH23:AJ23">
    <cfRule type="cellIs" dxfId="712" priority="34" operator="greaterThanOrEqual">
      <formula>200</formula>
    </cfRule>
  </conditionalFormatting>
  <conditionalFormatting sqref="AH30:AJ30">
    <cfRule type="cellIs" dxfId="711" priority="31" operator="greaterThanOrEqual">
      <formula>200</formula>
    </cfRule>
  </conditionalFormatting>
  <conditionalFormatting sqref="AH28:AJ28">
    <cfRule type="cellIs" dxfId="710" priority="33" operator="greaterThanOrEqual">
      <formula>200</formula>
    </cfRule>
  </conditionalFormatting>
  <conditionalFormatting sqref="AH29:AJ29">
    <cfRule type="cellIs" dxfId="709" priority="32" operator="greaterThanOrEqual">
      <formula>200</formula>
    </cfRule>
  </conditionalFormatting>
  <conditionalFormatting sqref="AH24:AJ24">
    <cfRule type="cellIs" dxfId="708" priority="30" operator="greaterThanOrEqual">
      <formula>200</formula>
    </cfRule>
  </conditionalFormatting>
  <conditionalFormatting sqref="AH27:AJ27">
    <cfRule type="cellIs" dxfId="707" priority="29" operator="greaterThanOrEqual">
      <formula>200</formula>
    </cfRule>
  </conditionalFormatting>
  <conditionalFormatting sqref="AB7:AD7">
    <cfRule type="cellIs" dxfId="706" priority="28" operator="greaterThanOrEqual">
      <formula>200</formula>
    </cfRule>
  </conditionalFormatting>
  <conditionalFormatting sqref="AB20:AD20">
    <cfRule type="cellIs" dxfId="705" priority="27" operator="greaterThanOrEqual">
      <formula>200</formula>
    </cfRule>
  </conditionalFormatting>
  <conditionalFormatting sqref="AB9:AD9">
    <cfRule type="cellIs" dxfId="704" priority="26" operator="greaterThanOrEqual">
      <formula>200</formula>
    </cfRule>
  </conditionalFormatting>
  <conditionalFormatting sqref="AB19:AD19">
    <cfRule type="cellIs" dxfId="703" priority="25" operator="greaterThanOrEqual">
      <formula>200</formula>
    </cfRule>
  </conditionalFormatting>
  <conditionalFormatting sqref="AB8:AD8">
    <cfRule type="cellIs" dxfId="702" priority="24" operator="greaterThanOrEqual">
      <formula>200</formula>
    </cfRule>
  </conditionalFormatting>
  <conditionalFormatting sqref="AB16:AD16">
    <cfRule type="cellIs" dxfId="701" priority="23" operator="greaterThanOrEqual">
      <formula>200</formula>
    </cfRule>
  </conditionalFormatting>
  <conditionalFormatting sqref="AB15:AD15">
    <cfRule type="cellIs" dxfId="700" priority="22" operator="greaterThanOrEqual">
      <formula>200</formula>
    </cfRule>
  </conditionalFormatting>
  <conditionalFormatting sqref="AB23:AD23">
    <cfRule type="cellIs" dxfId="699" priority="21" operator="greaterThanOrEqual">
      <formula>200</formula>
    </cfRule>
  </conditionalFormatting>
  <conditionalFormatting sqref="AB11:AD11">
    <cfRule type="cellIs" dxfId="698" priority="20" operator="greaterThanOrEqual">
      <formula>200</formula>
    </cfRule>
  </conditionalFormatting>
  <conditionalFormatting sqref="AB22:AD22">
    <cfRule type="cellIs" dxfId="697" priority="19" operator="greaterThanOrEqual">
      <formula>200</formula>
    </cfRule>
  </conditionalFormatting>
  <conditionalFormatting sqref="AB5:AD5">
    <cfRule type="cellIs" dxfId="696" priority="18" operator="greaterThanOrEqual">
      <formula>200</formula>
    </cfRule>
  </conditionalFormatting>
  <conditionalFormatting sqref="AB18:AD18">
    <cfRule type="cellIs" dxfId="695" priority="17" operator="greaterThanOrEqual">
      <formula>200</formula>
    </cfRule>
  </conditionalFormatting>
  <conditionalFormatting sqref="AB10:AD10">
    <cfRule type="cellIs" dxfId="694" priority="16" operator="greaterThanOrEqual">
      <formula>200</formula>
    </cfRule>
  </conditionalFormatting>
  <conditionalFormatting sqref="AB13:AD13">
    <cfRule type="cellIs" dxfId="693" priority="15" operator="greaterThanOrEqual">
      <formula>200</formula>
    </cfRule>
  </conditionalFormatting>
  <conditionalFormatting sqref="AB25:AD25">
    <cfRule type="cellIs" dxfId="692" priority="14" operator="greaterThanOrEqual">
      <formula>200</formula>
    </cfRule>
  </conditionalFormatting>
  <conditionalFormatting sqref="AB31:AD31">
    <cfRule type="cellIs" dxfId="691" priority="13" operator="greaterThanOrEqual">
      <formula>200</formula>
    </cfRule>
  </conditionalFormatting>
  <conditionalFormatting sqref="AE38:BF38 BH38:BU38 E38:AA38">
    <cfRule type="expression" dxfId="690" priority="12">
      <formula>"&gt;=200"</formula>
    </cfRule>
  </conditionalFormatting>
  <conditionalFormatting sqref="AB37:AD37">
    <cfRule type="cellIs" dxfId="689" priority="11" operator="greaterThanOrEqual">
      <formula>200</formula>
    </cfRule>
  </conditionalFormatting>
  <conditionalFormatting sqref="AB38:AD38">
    <cfRule type="cellIs" dxfId="688" priority="10" operator="greaterThanOrEqual">
      <formula>200</formula>
    </cfRule>
  </conditionalFormatting>
  <conditionalFormatting sqref="AB36:AD36">
    <cfRule type="cellIs" dxfId="687" priority="9" operator="greaterThanOrEqual">
      <formula>200</formula>
    </cfRule>
  </conditionalFormatting>
  <conditionalFormatting sqref="C21:C25">
    <cfRule type="expression" dxfId="686" priority="8">
      <formula>"&gt;=200"</formula>
    </cfRule>
  </conditionalFormatting>
  <conditionalFormatting sqref="C35:C38">
    <cfRule type="expression" dxfId="685" priority="7">
      <formula>"&gt;=200"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filterMode="1">
    <tabColor theme="7" tint="0.59999389629810485"/>
  </sheetPr>
  <dimension ref="A1:N60"/>
  <sheetViews>
    <sheetView workbookViewId="0">
      <selection activeCell="P50" sqref="P50"/>
    </sheetView>
  </sheetViews>
  <sheetFormatPr defaultRowHeight="16.5"/>
  <cols>
    <col min="1" max="1" width="18.5" customWidth="1"/>
    <col min="2" max="2" width="5.25" customWidth="1"/>
    <col min="3" max="3" width="5.75" customWidth="1"/>
    <col min="4" max="4" width="15.375" bestFit="1" customWidth="1"/>
    <col min="5" max="5" width="16.375" bestFit="1" customWidth="1"/>
    <col min="6" max="6" width="15.375" bestFit="1" customWidth="1"/>
    <col min="7" max="7" width="16.375" bestFit="1" customWidth="1"/>
    <col min="8" max="8" width="15.375" bestFit="1" customWidth="1"/>
    <col min="9" max="9" width="16.375" bestFit="1" customWidth="1"/>
    <col min="10" max="10" width="15.375" bestFit="1" customWidth="1"/>
    <col min="11" max="11" width="16.375" bestFit="1" customWidth="1"/>
    <col min="12" max="12" width="15" customWidth="1"/>
    <col min="13" max="13" width="27" bestFit="1" customWidth="1"/>
    <col min="14" max="14" width="15.25" bestFit="1" customWidth="1"/>
    <col min="22" max="25" width="9" customWidth="1"/>
  </cols>
  <sheetData>
    <row r="1" spans="1:14">
      <c r="A1" s="379"/>
      <c r="B1" s="379"/>
      <c r="C1" s="379"/>
      <c r="D1" s="379"/>
      <c r="E1" s="379"/>
      <c r="F1" s="379"/>
      <c r="G1" s="379"/>
      <c r="H1" s="379"/>
      <c r="I1" s="379"/>
    </row>
    <row r="2" spans="1:14">
      <c r="A2" s="379"/>
      <c r="B2" s="379"/>
      <c r="C2" s="379"/>
      <c r="D2" s="492" t="s">
        <v>217</v>
      </c>
      <c r="E2" s="494">
        <v>2022</v>
      </c>
      <c r="F2" s="524"/>
      <c r="G2" s="494">
        <v>2023</v>
      </c>
      <c r="H2" s="524"/>
      <c r="I2" s="494">
        <v>2024</v>
      </c>
      <c r="J2" s="524"/>
      <c r="K2" s="494">
        <v>2025</v>
      </c>
      <c r="L2" s="524"/>
      <c r="M2" s="376"/>
    </row>
    <row r="3" spans="1:14">
      <c r="A3" s="379"/>
      <c r="B3" s="380"/>
      <c r="C3" s="381"/>
      <c r="D3" s="525"/>
      <c r="E3" s="216" t="s">
        <v>218</v>
      </c>
      <c r="F3" s="216" t="s">
        <v>219</v>
      </c>
      <c r="G3" s="216" t="s">
        <v>218</v>
      </c>
      <c r="H3" s="216" t="s">
        <v>219</v>
      </c>
      <c r="I3" s="216" t="s">
        <v>218</v>
      </c>
      <c r="J3" s="216" t="s">
        <v>219</v>
      </c>
      <c r="K3" s="216" t="s">
        <v>218</v>
      </c>
      <c r="L3" s="216" t="s">
        <v>219</v>
      </c>
      <c r="M3" s="376"/>
    </row>
    <row r="4" spans="1:14">
      <c r="A4" s="379"/>
      <c r="B4" s="380"/>
      <c r="C4" s="381"/>
      <c r="D4" s="355" t="s">
        <v>196</v>
      </c>
      <c r="E4" s="217" t="s">
        <v>109</v>
      </c>
      <c r="F4" s="218">
        <v>234</v>
      </c>
      <c r="G4" s="217" t="s">
        <v>178</v>
      </c>
      <c r="H4" s="218">
        <v>256</v>
      </c>
      <c r="I4" s="217" t="s">
        <v>109</v>
      </c>
      <c r="J4" s="297">
        <v>257</v>
      </c>
      <c r="K4" s="217" t="str">
        <f>VLOOKUP(L4,미니게임_분석!$I$2:$N$30,3,0)</f>
        <v>양근석</v>
      </c>
      <c r="L4" s="297">
        <f t="array" ref="L4">MAX(IF($C$13:$C$53="남",$J$13:$J$53))</f>
        <v>288</v>
      </c>
      <c r="M4" s="377"/>
    </row>
    <row r="5" spans="1:14">
      <c r="A5" s="379"/>
      <c r="B5" s="380"/>
      <c r="C5" s="382"/>
      <c r="D5" s="355" t="s">
        <v>197</v>
      </c>
      <c r="E5" s="217" t="s">
        <v>104</v>
      </c>
      <c r="F5" s="218">
        <v>200</v>
      </c>
      <c r="G5" s="217" t="s">
        <v>104</v>
      </c>
      <c r="H5" s="218">
        <v>232</v>
      </c>
      <c r="I5" s="217" t="s">
        <v>112</v>
      </c>
      <c r="J5" s="297">
        <v>194</v>
      </c>
      <c r="K5" s="217" t="str">
        <f>VLOOKUP(L5,미니게임_분석!$I$2:$N$30,3,0)</f>
        <v>채승엽</v>
      </c>
      <c r="L5" s="297">
        <f t="array" ref="L5">MAX(IF($C$13:$C$53="여",$J$13:$J$53))</f>
        <v>213</v>
      </c>
      <c r="M5" s="377"/>
    </row>
    <row r="6" spans="1:14">
      <c r="A6" s="379"/>
      <c r="B6" s="380"/>
      <c r="C6" s="382"/>
      <c r="D6" s="355" t="s">
        <v>198</v>
      </c>
      <c r="E6" s="217" t="s">
        <v>220</v>
      </c>
      <c r="F6" s="219">
        <v>172.5</v>
      </c>
      <c r="G6" s="217" t="s">
        <v>220</v>
      </c>
      <c r="H6" s="219">
        <v>198.6</v>
      </c>
      <c r="I6" s="217" t="s">
        <v>105</v>
      </c>
      <c r="J6" s="233">
        <v>184.36111111111111</v>
      </c>
      <c r="K6" s="217" t="str">
        <f>VLOOKUP(L6,미니게임_분석!$G:$K,5,0)</f>
        <v>양근석</v>
      </c>
      <c r="L6" s="233">
        <f t="array" ref="L6">MAX(IF(미니게임_분석!$C$2:$C$29="남",미니게임_분석!$G$2:$G$29))</f>
        <v>203.16666666666666</v>
      </c>
      <c r="M6" s="378"/>
    </row>
    <row r="7" spans="1:14">
      <c r="A7" s="379"/>
      <c r="B7" s="380"/>
      <c r="C7" s="380"/>
      <c r="D7" s="355" t="s">
        <v>199</v>
      </c>
      <c r="E7" s="217" t="s">
        <v>104</v>
      </c>
      <c r="F7" s="219">
        <v>142</v>
      </c>
      <c r="G7" s="217" t="s">
        <v>104</v>
      </c>
      <c r="H7" s="219">
        <v>163.69999999999999</v>
      </c>
      <c r="I7" s="217" t="s">
        <v>112</v>
      </c>
      <c r="J7" s="233">
        <v>147.27272727272728</v>
      </c>
      <c r="K7" s="217" t="str">
        <f>VLOOKUP(L7,미니게임_분석!$G:$K,5,0)</f>
        <v>손하은</v>
      </c>
      <c r="L7" s="233">
        <f t="array" ref="L7">MAX(IF(미니게임_분석!$C$2:$C$29="여",미니게임_분석!$G$2:$G$29))</f>
        <v>160.33333333333334</v>
      </c>
      <c r="M7" s="378"/>
    </row>
    <row r="8" spans="1:14">
      <c r="A8" s="379"/>
      <c r="B8" s="380"/>
      <c r="C8" s="380"/>
      <c r="D8" s="355" t="s">
        <v>303</v>
      </c>
      <c r="E8" s="220"/>
      <c r="F8" s="220"/>
      <c r="G8" s="217" t="s">
        <v>111</v>
      </c>
      <c r="H8" s="219">
        <v>36.4</v>
      </c>
      <c r="I8" s="217" t="s">
        <v>319</v>
      </c>
      <c r="J8" s="233">
        <v>17.26111111111112</v>
      </c>
      <c r="K8" s="217" t="str">
        <f>VLOOKUP(L8,미니게임_분석!$J$1:$K$36,2,0)</f>
        <v>전병기</v>
      </c>
      <c r="L8" s="233">
        <f t="array" ref="L8">MAX(IF(미니게임_분석!$C$2:$C$25="남",미니게임_분석!$J$2:$J$25))</f>
        <v>1.9166666666666572</v>
      </c>
      <c r="M8" s="378"/>
    </row>
    <row r="9" spans="1:14">
      <c r="D9" s="280" t="s">
        <v>304</v>
      </c>
      <c r="E9" s="286"/>
      <c r="F9" s="286"/>
      <c r="G9" s="217" t="s">
        <v>30</v>
      </c>
      <c r="H9" s="219">
        <v>21.7</v>
      </c>
      <c r="I9" s="281" t="s">
        <v>181</v>
      </c>
      <c r="J9" s="282">
        <v>14.733333333333334</v>
      </c>
      <c r="K9" s="281" t="str">
        <f>VLOOKUP(L9,미니게임_분석!$J$1:$K$36,2,0)</f>
        <v>손하은</v>
      </c>
      <c r="L9" s="282">
        <f t="array" ref="L9">MAX(IF(미니게임_분석!$C$2:$C$25="여",미니게임_분석!$J$2:$J$25))</f>
        <v>16.222222222222229</v>
      </c>
      <c r="M9" s="378"/>
    </row>
    <row r="12" spans="1:14">
      <c r="A12" s="46" t="s">
        <v>44</v>
      </c>
      <c r="B12" s="46" t="s">
        <v>190</v>
      </c>
      <c r="C12" s="46" t="s">
        <v>159</v>
      </c>
      <c r="D12" s="46" t="s">
        <v>348</v>
      </c>
      <c r="E12" s="368" t="s">
        <v>347</v>
      </c>
      <c r="F12" s="46" t="s">
        <v>349</v>
      </c>
      <c r="G12" s="368" t="s">
        <v>350</v>
      </c>
      <c r="H12" s="46" t="s">
        <v>351</v>
      </c>
      <c r="I12" s="368" t="s">
        <v>352</v>
      </c>
      <c r="J12" s="46" t="s">
        <v>353</v>
      </c>
      <c r="K12" s="368" t="s">
        <v>354</v>
      </c>
      <c r="L12" s="368"/>
      <c r="M12" s="368" t="s">
        <v>357</v>
      </c>
      <c r="N12" s="368" t="s">
        <v>189</v>
      </c>
    </row>
    <row r="13" spans="1:14">
      <c r="A13" s="363" t="s">
        <v>65</v>
      </c>
      <c r="B13" s="363" t="s">
        <v>191</v>
      </c>
      <c r="C13" s="363" t="s">
        <v>156</v>
      </c>
      <c r="D13" s="99">
        <f>MAX(INDEX('미니게임_DATA(순)'!$E$4:$R$60,MATCH(A13,'미니게임_DATA(순)'!$A$4:$A$60,0),0))</f>
        <v>204</v>
      </c>
      <c r="E13" s="367">
        <f>IFERROR(AVERAGE(INDEX('미니게임_DATA(순)'!$E$4:$R$60,MATCH($A13,'미니게임_DATA(순)'!$A$4:$A$60,0),0)),0)</f>
        <v>172.5</v>
      </c>
      <c r="F13" s="99">
        <f>MAX(INDEX('미니게임_DATA(순)'!$S$4:$BB$65,MATCH($A13,'미니게임_DATA(순)'!$A$4:$A$65,0),0))</f>
        <v>255</v>
      </c>
      <c r="G13" s="367">
        <f>IFERROR(AVERAGE(INDEX('미니게임_DATA(순)'!$S$4:$BB$65,MATCH($A13,'미니게임_DATA(순)'!$A$4:$A$65,0),0)),0)</f>
        <v>198.64285714285714</v>
      </c>
      <c r="H13" s="99">
        <f>MAX(INDEX('미니게임_DATA(순)'!$BD$4:$CY$65,MATCH($A13,'미니게임_DATA(순)'!$A$4:$A$65,0),0))</f>
        <v>0</v>
      </c>
      <c r="I13" s="367">
        <f>IFERROR(AVERAGE(INDEX('미니게임_DATA(순)'!$BD$4:$CY$65,MATCH($A13,'미니게임_DATA(순)'!$A$4:$A$65,0),0)),0)</f>
        <v>0</v>
      </c>
      <c r="J13" s="99">
        <f>MAX(INDEX('미니게임_DATA(순)'!$DB$4:$EU$65,MATCH($A13,'미니게임_DATA(순)'!$A$4:$A$65,0),0))</f>
        <v>288</v>
      </c>
      <c r="K13" s="367">
        <f>IFERROR(AVERAGE(INDEX('미니게임_DATA(순)'!$DB$4:$EU$65,MATCH($A13,'미니게임_DATA(순)'!$A$4:$A$65,0),0)),0)</f>
        <v>203.16666666666666</v>
      </c>
      <c r="L13" s="99"/>
      <c r="M13" s="367">
        <f t="shared" ref="M13:M25" si="0">IF(AND(K13&gt;0, I13&gt;0),K13-I13,0)</f>
        <v>0</v>
      </c>
      <c r="N13" s="367">
        <f>IFERROR(AVERAGE(INDEX('미니게임_DATA(순)'!$E$4:$EU$44,MATCH(A13,'미니게임_DATA(순)'!$A$4:$A$44,0),0)),0)</f>
        <v>195.41666666666666</v>
      </c>
    </row>
    <row r="14" spans="1:14">
      <c r="A14" s="55" t="s">
        <v>76</v>
      </c>
      <c r="B14" s="55" t="s">
        <v>191</v>
      </c>
      <c r="C14" s="55" t="s">
        <v>156</v>
      </c>
      <c r="D14" s="99">
        <f>MAX(INDEX('미니게임_DATA(순)'!$E$4:$R$60,MATCH(A14,'미니게임_DATA(순)'!$A$4:$A$60,0),0))</f>
        <v>222</v>
      </c>
      <c r="E14" s="367">
        <f>IFERROR(AVERAGE(INDEX('미니게임_DATA(순)'!$E$4:$R$60,MATCH($A14,'미니게임_DATA(순)'!$A$4:$A$60,0),0)),0)</f>
        <v>172.1</v>
      </c>
      <c r="F14" s="99">
        <f>MAX(INDEX('미니게임_DATA(순)'!$S$4:$BB$65,MATCH($A14,'미니게임_DATA(순)'!$A$4:$A$65,0),0))</f>
        <v>243</v>
      </c>
      <c r="G14" s="367">
        <f>IFERROR(AVERAGE(INDEX('미니게임_DATA(순)'!$S$4:$BB$65,MATCH($A14,'미니게임_DATA(순)'!$A$4:$A$65,0),0)),0)</f>
        <v>176.75</v>
      </c>
      <c r="H14" s="99">
        <f>MAX(INDEX('미니게임_DATA(순)'!$BD$4:$CY$65,MATCH($A14,'미니게임_DATA(순)'!$A$4:$A$65,0),0))</f>
        <v>236</v>
      </c>
      <c r="I14" s="367">
        <f>IFERROR(AVERAGE(INDEX('미니게임_DATA(순)'!$BD$4:$CY$65,MATCH($A14,'미니게임_DATA(순)'!$A$4:$A$65,0),0)),0)</f>
        <v>184.36111111111111</v>
      </c>
      <c r="J14" s="99">
        <f>MAX(INDEX('미니게임_DATA(순)'!$DB$4:$EU$65,MATCH($A14,'미니게임_DATA(순)'!$A$4:$A$65,0),0))</f>
        <v>245</v>
      </c>
      <c r="K14" s="367">
        <f>IFERROR(AVERAGE(INDEX('미니게임_DATA(순)'!$DB$4:$EU$65,MATCH($A14,'미니게임_DATA(순)'!$A$4:$A$65,0),0)),0)</f>
        <v>182.56666666666666</v>
      </c>
      <c r="L14" s="45"/>
      <c r="M14" s="367">
        <f t="shared" si="0"/>
        <v>-1.7944444444444514</v>
      </c>
      <c r="N14" s="367">
        <f>IFERROR(AVERAGE(INDEX('미니게임_DATA(순)'!$E$4:$EU$44,MATCH(A14,'미니게임_DATA(순)'!$A$4:$A$44,0),0)),0)</f>
        <v>180.33928571428572</v>
      </c>
    </row>
    <row r="15" spans="1:14">
      <c r="A15" s="55" t="s">
        <v>81</v>
      </c>
      <c r="B15" s="55" t="s">
        <v>191</v>
      </c>
      <c r="C15" s="55" t="s">
        <v>156</v>
      </c>
      <c r="D15" s="99">
        <f>MAX(INDEX('미니게임_DATA(순)'!$E$4:$R$60,MATCH(A15,'미니게임_DATA(순)'!$A$4:$A$60,0),0))</f>
        <v>205</v>
      </c>
      <c r="E15" s="367">
        <f>IFERROR(AVERAGE(INDEX('미니게임_DATA(순)'!$E$4:$R$60,MATCH($A15,'미니게임_DATA(순)'!$A$4:$A$60,0),0)),0)</f>
        <v>158.75</v>
      </c>
      <c r="F15" s="99">
        <f>MAX(INDEX('미니게임_DATA(순)'!$S$4:$BB$65,MATCH($A15,'미니게임_DATA(순)'!$A$4:$A$65,0),0))</f>
        <v>229</v>
      </c>
      <c r="G15" s="367">
        <f>IFERROR(AVERAGE(INDEX('미니게임_DATA(순)'!$S$4:$BB$65,MATCH($A15,'미니게임_DATA(순)'!$A$4:$A$65,0),0)),0)</f>
        <v>162</v>
      </c>
      <c r="H15" s="99">
        <f>MAX(INDEX('미니게임_DATA(순)'!$BD$4:$CY$65,MATCH($A15,'미니게임_DATA(순)'!$A$4:$A$65,0),0))</f>
        <v>226</v>
      </c>
      <c r="I15" s="367">
        <f>IFERROR(AVERAGE(INDEX('미니게임_DATA(순)'!$BD$4:$CY$65,MATCH($A15,'미니게임_DATA(순)'!$A$4:$A$65,0),0)),0)</f>
        <v>169.75555555555556</v>
      </c>
      <c r="J15" s="99">
        <f>MAX(INDEX('미니게임_DATA(순)'!$DB$4:$EU$65,MATCH($A15,'미니게임_DATA(순)'!$A$4:$A$65,0),0))</f>
        <v>220</v>
      </c>
      <c r="K15" s="367">
        <f>IFERROR(AVERAGE(INDEX('미니게임_DATA(순)'!$DB$4:$EU$65,MATCH($A15,'미니게임_DATA(순)'!$A$4:$A$65,0),0)),0)</f>
        <v>168.07142857142858</v>
      </c>
      <c r="L15" s="45"/>
      <c r="M15" s="367">
        <f t="shared" si="0"/>
        <v>-1.6841269841269764</v>
      </c>
      <c r="N15" s="367">
        <f>IFERROR(AVERAGE(INDEX('미니게임_DATA(순)'!$E$4:$EU$44,MATCH(A15,'미니게임_DATA(순)'!$A$4:$A$44,0),0)),0)</f>
        <v>166.48062015503876</v>
      </c>
    </row>
    <row r="16" spans="1:14">
      <c r="A16" s="55" t="s">
        <v>75</v>
      </c>
      <c r="B16" s="55" t="s">
        <v>191</v>
      </c>
      <c r="C16" s="55" t="s">
        <v>156</v>
      </c>
      <c r="D16" s="99">
        <f>MAX(INDEX('미니게임_DATA(순)'!$E$4:$R$60,MATCH(A16,'미니게임_DATA(순)'!$A$4:$A$60,0),0))</f>
        <v>234</v>
      </c>
      <c r="E16" s="367">
        <f>IFERROR(AVERAGE(INDEX('미니게임_DATA(순)'!$E$4:$R$60,MATCH($A16,'미니게임_DATA(순)'!$A$4:$A$60,0),0)),0)</f>
        <v>170.8</v>
      </c>
      <c r="F16" s="99">
        <f>MAX(INDEX('미니게임_DATA(순)'!$S$4:$BB$65,MATCH($A16,'미니게임_DATA(순)'!$A$4:$A$65,0),0))</f>
        <v>235</v>
      </c>
      <c r="G16" s="367">
        <f>IFERROR(AVERAGE(INDEX('미니게임_DATA(순)'!$S$4:$BB$65,MATCH($A16,'미니게임_DATA(순)'!$A$4:$A$65,0),0)),0)</f>
        <v>166.58064516129033</v>
      </c>
      <c r="H16" s="99">
        <f>MAX(INDEX('미니게임_DATA(순)'!$BD$4:$CY$65,MATCH($A16,'미니게임_DATA(순)'!$A$4:$A$65,0),0))</f>
        <v>257</v>
      </c>
      <c r="I16" s="367">
        <f>IFERROR(AVERAGE(INDEX('미니게임_DATA(순)'!$BD$4:$CY$65,MATCH($A16,'미니게임_DATA(순)'!$A$4:$A$65,0),0)),0)</f>
        <v>167.33333333333334</v>
      </c>
      <c r="J16" s="99">
        <f>MAX(INDEX('미니게임_DATA(순)'!$DB$4:$EU$65,MATCH($A16,'미니게임_DATA(순)'!$A$4:$A$65,0),0))</f>
        <v>223</v>
      </c>
      <c r="K16" s="367">
        <f>IFERROR(AVERAGE(INDEX('미니게임_DATA(순)'!$DB$4:$EU$65,MATCH($A16,'미니게임_DATA(순)'!$A$4:$A$65,0),0)),0)</f>
        <v>159.83333333333334</v>
      </c>
      <c r="L16" s="45"/>
      <c r="M16" s="367">
        <f t="shared" si="0"/>
        <v>-7.5</v>
      </c>
      <c r="N16" s="367">
        <f>IFERROR(AVERAGE(INDEX('미니게임_DATA(순)'!$E$4:$EU$44,MATCH(A16,'미니게임_DATA(순)'!$A$4:$A$44,0),0)),0)</f>
        <v>165.49137931034483</v>
      </c>
    </row>
    <row r="17" spans="1:14">
      <c r="A17" s="55" t="s">
        <v>68</v>
      </c>
      <c r="B17" s="55" t="s">
        <v>191</v>
      </c>
      <c r="C17" s="55" t="s">
        <v>156</v>
      </c>
      <c r="D17" s="99">
        <f>MAX(INDEX('미니게임_DATA(순)'!$E$4:$R$60,MATCH(A17,'미니게임_DATA(순)'!$A$4:$A$60,0),0))</f>
        <v>0</v>
      </c>
      <c r="E17" s="367">
        <f>IFERROR(AVERAGE(INDEX('미니게임_DATA(순)'!$E$4:$R$60,MATCH($A17,'미니게임_DATA(순)'!$A$4:$A$60,0),0)),0)</f>
        <v>0</v>
      </c>
      <c r="F17" s="99">
        <f>MAX(INDEX('미니게임_DATA(순)'!$S$4:$BB$65,MATCH($A17,'미니게임_DATA(순)'!$A$4:$A$65,0),0))</f>
        <v>224</v>
      </c>
      <c r="G17" s="367">
        <f>IFERROR(AVERAGE(INDEX('미니게임_DATA(순)'!$S$4:$BB$65,MATCH($A17,'미니게임_DATA(순)'!$A$4:$A$65,0),0)),0)</f>
        <v>157.89285714285714</v>
      </c>
      <c r="H17" s="99">
        <f>MAX(INDEX('미니게임_DATA(순)'!$BD$4:$CY$65,MATCH($A17,'미니게임_DATA(순)'!$A$4:$A$65,0),0))</f>
        <v>215</v>
      </c>
      <c r="I17" s="367">
        <f>IFERROR(AVERAGE(INDEX('미니게임_DATA(순)'!$BD$4:$CY$65,MATCH($A17,'미니게임_DATA(순)'!$A$4:$A$65,0),0)),0)</f>
        <v>161.26190476190476</v>
      </c>
      <c r="J17" s="99">
        <f>MAX(INDEX('미니게임_DATA(순)'!$DB$4:$EU$65,MATCH($A17,'미니게임_DATA(순)'!$A$4:$A$65,0),0))</f>
        <v>201</v>
      </c>
      <c r="K17" s="367">
        <f>IFERROR(AVERAGE(INDEX('미니게임_DATA(순)'!$DB$4:$EU$65,MATCH($A17,'미니게임_DATA(순)'!$A$4:$A$65,0),0)),0)</f>
        <v>160.14285714285714</v>
      </c>
      <c r="L17" s="45"/>
      <c r="M17" s="367">
        <f t="shared" si="0"/>
        <v>-1.1190476190476204</v>
      </c>
      <c r="N17" s="367">
        <f>IFERROR(AVERAGE(INDEX('미니게임_DATA(순)'!$E$4:$EU$44,MATCH(A17,'미니게임_DATA(순)'!$A$4:$A$44,0),0)),0)</f>
        <v>159.96703296703296</v>
      </c>
    </row>
    <row r="18" spans="1:14">
      <c r="A18" s="55" t="s">
        <v>80</v>
      </c>
      <c r="B18" s="55" t="s">
        <v>191</v>
      </c>
      <c r="C18" s="55" t="s">
        <v>156</v>
      </c>
      <c r="D18" s="99">
        <f>MAX(INDEX('미니게임_DATA(순)'!$E$4:$R$60,MATCH(A18,'미니게임_DATA(순)'!$A$4:$A$60,0),0))</f>
        <v>211</v>
      </c>
      <c r="E18" s="367">
        <f>IFERROR(AVERAGE(INDEX('미니게임_DATA(순)'!$E$4:$R$60,MATCH($A18,'미니게임_DATA(순)'!$A$4:$A$60,0),0)),0)</f>
        <v>156.4</v>
      </c>
      <c r="F18" s="99">
        <f>MAX(INDEX('미니게임_DATA(순)'!$S$4:$BB$65,MATCH($A18,'미니게임_DATA(순)'!$A$4:$A$65,0),0))</f>
        <v>222</v>
      </c>
      <c r="G18" s="367">
        <f>IFERROR(AVERAGE(INDEX('미니게임_DATA(순)'!$S$4:$BB$65,MATCH($A18,'미니게임_DATA(순)'!$A$4:$A$65,0),0)),0)</f>
        <v>167.51724137931035</v>
      </c>
      <c r="H18" s="99">
        <f>MAX(INDEX('미니게임_DATA(순)'!$BD$4:$CY$65,MATCH($A18,'미니게임_DATA(순)'!$A$4:$A$65,0),0))</f>
        <v>231</v>
      </c>
      <c r="I18" s="367">
        <f>IFERROR(AVERAGE(INDEX('미니게임_DATA(순)'!$BD$4:$CY$65,MATCH($A18,'미니게임_DATA(순)'!$A$4:$A$65,0),0)),0)</f>
        <v>175.42857142857142</v>
      </c>
      <c r="J18" s="99">
        <f>MAX(INDEX('미니게임_DATA(순)'!$DB$4:$EU$65,MATCH($A18,'미니게임_DATA(순)'!$A$4:$A$65,0),0))</f>
        <v>188</v>
      </c>
      <c r="K18" s="367">
        <f>IFERROR(AVERAGE(INDEX('미니게임_DATA(순)'!$DB$4:$EU$65,MATCH($A18,'미니게임_DATA(순)'!$A$4:$A$65,0),0)),0)</f>
        <v>161.66666666666666</v>
      </c>
      <c r="L18" s="45"/>
      <c r="M18" s="367">
        <f t="shared" si="0"/>
        <v>-13.761904761904759</v>
      </c>
      <c r="N18" s="367">
        <f>IFERROR(AVERAGE(INDEX('미니게임_DATA(순)'!$E$4:$EU$44,MATCH(A18,'미니게임_DATA(순)'!$A$4:$A$44,0),0)),0)</f>
        <v>168.11111111111111</v>
      </c>
    </row>
    <row r="19" spans="1:14">
      <c r="A19" s="48" t="s">
        <v>468</v>
      </c>
      <c r="B19" s="48" t="s">
        <v>194</v>
      </c>
      <c r="C19" s="48" t="s">
        <v>156</v>
      </c>
      <c r="D19" s="99">
        <f>MAX(INDEX('미니게임_DATA(순)'!$E$4:$R$60,MATCH(A19,'미니게임_DATA(순)'!$A$4:$A$60,0),0))</f>
        <v>0</v>
      </c>
      <c r="E19" s="367">
        <f>IFERROR(AVERAGE(INDEX('미니게임_DATA(순)'!$E$4:$R$60,MATCH($A19,'미니게임_DATA(순)'!$A$4:$A$60,0),0)),0)</f>
        <v>0</v>
      </c>
      <c r="F19" s="99">
        <f>MAX(INDEX('미니게임_DATA(순)'!$S$4:$BB$65,MATCH($A19,'미니게임_DATA(순)'!$A$4:$A$65,0),0))</f>
        <v>0</v>
      </c>
      <c r="G19" s="367">
        <f>IFERROR(AVERAGE(INDEX('미니게임_DATA(순)'!$S$4:$BB$65,MATCH($A19,'미니게임_DATA(순)'!$A$4:$A$65,0),0)),0)</f>
        <v>0</v>
      </c>
      <c r="H19" s="99">
        <f>MAX(INDEX('미니게임_DATA(순)'!$BD$4:$CY$65,MATCH($A19,'미니게임_DATA(순)'!$A$4:$A$65,0),0))</f>
        <v>0</v>
      </c>
      <c r="I19" s="367">
        <f>IFERROR(AVERAGE(INDEX('미니게임_DATA(순)'!$BD$4:$CY$65,MATCH($A19,'미니게임_DATA(순)'!$A$4:$A$65,0),0)),0)</f>
        <v>0</v>
      </c>
      <c r="J19" s="99">
        <f>MAX(INDEX('미니게임_DATA(순)'!$DB$4:$EU$65,MATCH($A19,'미니게임_DATA(순)'!$A$4:$A$65,0),0))</f>
        <v>182</v>
      </c>
      <c r="K19" s="367">
        <f>IFERROR(AVERAGE(INDEX('미니게임_DATA(순)'!$DB$4:$EU$65,MATCH($A19,'미니게임_DATA(순)'!$A$4:$A$65,0),0)),0)</f>
        <v>138</v>
      </c>
      <c r="L19" s="45"/>
      <c r="M19" s="367">
        <f t="shared" si="0"/>
        <v>0</v>
      </c>
      <c r="N19" s="367">
        <f>IFERROR(AVERAGE(INDEX('미니게임_DATA(순)'!$E$4:$EU$44,MATCH(A19,'미니게임_DATA(순)'!$A$4:$A$44,0),0)),0)</f>
        <v>138</v>
      </c>
    </row>
    <row r="20" spans="1:14">
      <c r="A20" s="55" t="s">
        <v>59</v>
      </c>
      <c r="B20" s="55" t="s">
        <v>191</v>
      </c>
      <c r="C20" s="55" t="s">
        <v>156</v>
      </c>
      <c r="D20" s="99">
        <f>MAX(INDEX('미니게임_DATA(순)'!$E$4:$R$60,MATCH(A20,'미니게임_DATA(순)'!$A$4:$A$60,0),0))</f>
        <v>198</v>
      </c>
      <c r="E20" s="367">
        <f>IFERROR(AVERAGE(INDEX('미니게임_DATA(순)'!$E$4:$R$60,MATCH($A20,'미니게임_DATA(순)'!$A$4:$A$60,0),0)),0)</f>
        <v>168.9</v>
      </c>
      <c r="F20" s="99">
        <f>MAX(INDEX('미니게임_DATA(순)'!$S$4:$BB$65,MATCH($A20,'미니게임_DATA(순)'!$A$4:$A$65,0),0))</f>
        <v>225</v>
      </c>
      <c r="G20" s="367">
        <f>IFERROR(AVERAGE(INDEX('미니게임_DATA(순)'!$S$4:$BB$65,MATCH($A20,'미니게임_DATA(순)'!$A$4:$A$65,0),0)),0)</f>
        <v>170.56666666666666</v>
      </c>
      <c r="H20" s="99">
        <f>MAX(INDEX('미니게임_DATA(순)'!$BD$4:$CY$65,MATCH($A20,'미니게임_DATA(순)'!$A$4:$A$65,0),0))</f>
        <v>199</v>
      </c>
      <c r="I20" s="367">
        <f>IFERROR(AVERAGE(INDEX('미니게임_DATA(순)'!$BD$4:$CY$65,MATCH($A20,'미니게임_DATA(순)'!$A$4:$A$65,0),0)),0)</f>
        <v>157.97777777777779</v>
      </c>
      <c r="J20" s="99">
        <f>MAX(INDEX('미니게임_DATA(순)'!$DB$4:$EU$65,MATCH($A20,'미니게임_DATA(순)'!$A$4:$A$65,0),0))</f>
        <v>215</v>
      </c>
      <c r="K20" s="367">
        <f>IFERROR(AVERAGE(INDEX('미니게임_DATA(순)'!$DB$4:$EU$65,MATCH($A20,'미니게임_DATA(순)'!$A$4:$A$65,0),0)),0)</f>
        <v>159.62222222222223</v>
      </c>
      <c r="L20" s="45"/>
      <c r="M20" s="367">
        <f t="shared" si="0"/>
        <v>1.6444444444444457</v>
      </c>
      <c r="N20" s="367">
        <f>IFERROR(AVERAGE(INDEX('미니게임_DATA(순)'!$E$4:$EU$44,MATCH(A20,'미니게임_DATA(순)'!$A$4:$A$44,0),0)),0)</f>
        <v>162.2923076923077</v>
      </c>
    </row>
    <row r="21" spans="1:14">
      <c r="A21" s="55" t="s">
        <v>73</v>
      </c>
      <c r="B21" s="55" t="s">
        <v>191</v>
      </c>
      <c r="C21" s="55" t="s">
        <v>156</v>
      </c>
      <c r="D21" s="99">
        <f>MAX(INDEX('미니게임_DATA(순)'!$E$4:$R$60,MATCH(A21,'미니게임_DATA(순)'!$A$4:$A$60,0),0))</f>
        <v>190</v>
      </c>
      <c r="E21" s="367">
        <f>IFERROR(AVERAGE(INDEX('미니게임_DATA(순)'!$E$4:$R$60,MATCH($A21,'미니게임_DATA(순)'!$A$4:$A$60,0),0)),0)</f>
        <v>150.30000000000001</v>
      </c>
      <c r="F21" s="99">
        <f>MAX(INDEX('미니게임_DATA(순)'!$S$4:$BB$65,MATCH($A21,'미니게임_DATA(순)'!$A$4:$A$65,0),0))</f>
        <v>236</v>
      </c>
      <c r="G21" s="367">
        <f>IFERROR(AVERAGE(INDEX('미니게임_DATA(순)'!$S$4:$BB$65,MATCH($A21,'미니게임_DATA(순)'!$A$4:$A$65,0),0)),0)</f>
        <v>157.75</v>
      </c>
      <c r="H21" s="99">
        <f>MAX(INDEX('미니게임_DATA(순)'!$BD$4:$CY$65,MATCH($A21,'미니게임_DATA(순)'!$A$4:$A$65,0),0))</f>
        <v>219</v>
      </c>
      <c r="I21" s="367">
        <f>IFERROR(AVERAGE(INDEX('미니게임_DATA(순)'!$BD$4:$CY$65,MATCH($A21,'미니게임_DATA(순)'!$A$4:$A$65,0),0)),0)</f>
        <v>159.08333333333334</v>
      </c>
      <c r="J21" s="99">
        <f>MAX(INDEX('미니게임_DATA(순)'!$DB$4:$EU$65,MATCH($A21,'미니게임_DATA(순)'!$A$4:$A$65,0),0))</f>
        <v>194</v>
      </c>
      <c r="K21" s="367">
        <f>IFERROR(AVERAGE(INDEX('미니게임_DATA(순)'!$DB$4:$EU$65,MATCH($A21,'미니게임_DATA(순)'!$A$4:$A$65,0),0)),0)</f>
        <v>161</v>
      </c>
      <c r="L21" s="45"/>
      <c r="M21" s="367">
        <f t="shared" si="0"/>
        <v>1.9166666666666572</v>
      </c>
      <c r="N21" s="367">
        <f>IFERROR(AVERAGE(INDEX('미니게임_DATA(순)'!$E$4:$EU$44,MATCH(A21,'미니게임_DATA(순)'!$A$4:$A$44,0),0)),0)</f>
        <v>157.41176470588235</v>
      </c>
    </row>
    <row r="22" spans="1:14">
      <c r="A22" s="65" t="s">
        <v>62</v>
      </c>
      <c r="B22" s="65" t="s">
        <v>191</v>
      </c>
      <c r="C22" s="65" t="s">
        <v>157</v>
      </c>
      <c r="D22" s="99">
        <f>MAX(INDEX('미니게임_DATA(순)'!$E$4:$R$60,MATCH(A22,'미니게임_DATA(순)'!$A$4:$A$60,0),0))</f>
        <v>0</v>
      </c>
      <c r="E22" s="367">
        <f>IFERROR(AVERAGE(INDEX('미니게임_DATA(순)'!$E$4:$R$60,MATCH($A22,'미니게임_DATA(순)'!$A$4:$A$60,0),0)),0)</f>
        <v>0</v>
      </c>
      <c r="F22" s="99">
        <f>MAX(INDEX('미니게임_DATA(순)'!$S$4:$BB$65,MATCH($A22,'미니게임_DATA(순)'!$A$4:$A$65,0),0))</f>
        <v>190</v>
      </c>
      <c r="G22" s="367">
        <f>IFERROR(AVERAGE(INDEX('미니게임_DATA(순)'!$S$4:$BB$65,MATCH($A22,'미니게임_DATA(순)'!$A$4:$A$65,0),0)),0)</f>
        <v>143.14705882352942</v>
      </c>
      <c r="H22" s="99">
        <f>MAX(INDEX('미니게임_DATA(순)'!$BD$4:$CY$65,MATCH($A22,'미니게임_DATA(순)'!$A$4:$A$65,0),0))</f>
        <v>194</v>
      </c>
      <c r="I22" s="367">
        <f>IFERROR(AVERAGE(INDEX('미니게임_DATA(순)'!$BD$4:$CY$65,MATCH($A22,'미니게임_DATA(순)'!$A$4:$A$65,0),0)),0)</f>
        <v>147.27272727272728</v>
      </c>
      <c r="J22" s="99">
        <f>MAX(INDEX('미니게임_DATA(순)'!$DB$4:$EU$65,MATCH($A22,'미니게임_DATA(순)'!$A$4:$A$65,0),0))</f>
        <v>194</v>
      </c>
      <c r="K22" s="367">
        <f>IFERROR(AVERAGE(INDEX('미니게임_DATA(순)'!$DB$4:$EU$65,MATCH($A22,'미니게임_DATA(순)'!$A$4:$A$65,0),0)),0)</f>
        <v>153.63636363636363</v>
      </c>
      <c r="L22" s="45"/>
      <c r="M22" s="367">
        <f t="shared" si="0"/>
        <v>6.3636363636363455</v>
      </c>
      <c r="N22" s="367">
        <f>IFERROR(AVERAGE(INDEX('미니게임_DATA(순)'!$E$4:$EU$44,MATCH(A22,'미니게임_DATA(순)'!$A$4:$A$44,0),0)),0)</f>
        <v>147.97</v>
      </c>
    </row>
    <row r="23" spans="1:14">
      <c r="A23" s="55" t="s">
        <v>60</v>
      </c>
      <c r="B23" s="55" t="s">
        <v>191</v>
      </c>
      <c r="C23" s="55" t="s">
        <v>156</v>
      </c>
      <c r="D23" s="99">
        <f>MAX(INDEX('미니게임_DATA(순)'!$E$4:$R$60,MATCH(A23,'미니게임_DATA(순)'!$A$4:$A$60,0),0))</f>
        <v>173</v>
      </c>
      <c r="E23" s="367">
        <f>IFERROR(AVERAGE(INDEX('미니게임_DATA(순)'!$E$4:$R$60,MATCH($A23,'미니게임_DATA(순)'!$A$4:$A$60,0),0)),0)</f>
        <v>147.4</v>
      </c>
      <c r="F23" s="99">
        <f>MAX(INDEX('미니게임_DATA(순)'!$S$4:$BB$65,MATCH($A23,'미니게임_DATA(순)'!$A$4:$A$65,0),0))</f>
        <v>194</v>
      </c>
      <c r="G23" s="367">
        <f>IFERROR(AVERAGE(INDEX('미니게임_DATA(순)'!$S$4:$BB$65,MATCH($A23,'미니게임_DATA(순)'!$A$4:$A$65,0),0)),0)</f>
        <v>153.30555555555554</v>
      </c>
      <c r="H23" s="99">
        <f>MAX(INDEX('미니게임_DATA(순)'!$BD$4:$CY$65,MATCH($A23,'미니게임_DATA(순)'!$A$4:$A$65,0),0))</f>
        <v>225</v>
      </c>
      <c r="I23" s="367">
        <f>IFERROR(AVERAGE(INDEX('미니게임_DATA(순)'!$BD$4:$CY$65,MATCH($A23,'미니게임_DATA(순)'!$A$4:$A$65,0),0)),0)</f>
        <v>170.56666666666666</v>
      </c>
      <c r="J23" s="99">
        <f>MAX(INDEX('미니게임_DATA(순)'!$DB$4:$EU$65,MATCH($A23,'미니게임_DATA(순)'!$A$4:$A$65,0),0))</f>
        <v>247</v>
      </c>
      <c r="K23" s="367">
        <f>IFERROR(AVERAGE(INDEX('미니게임_DATA(순)'!$DB$4:$EU$65,MATCH($A23,'미니게임_DATA(순)'!$A$4:$A$65,0),0)),0)</f>
        <v>159.23809523809524</v>
      </c>
      <c r="L23" s="45"/>
      <c r="M23" s="367">
        <f t="shared" si="0"/>
        <v>-11.328571428571422</v>
      </c>
      <c r="N23" s="367">
        <f>IFERROR(AVERAGE(INDEX('미니게임_DATA(순)'!$E$4:$EU$44,MATCH(A23,'미니게임_DATA(순)'!$A$4:$A$44,0),0)),0)</f>
        <v>159.96739130434781</v>
      </c>
    </row>
    <row r="24" spans="1:14">
      <c r="A24" s="55" t="s">
        <v>247</v>
      </c>
      <c r="B24" s="55" t="s">
        <v>191</v>
      </c>
      <c r="C24" s="55" t="s">
        <v>156</v>
      </c>
      <c r="D24" s="99">
        <f>MAX(INDEX('미니게임_DATA(순)'!$E$4:$R$60,MATCH(A24,'미니게임_DATA(순)'!$A$4:$A$60,0),0))</f>
        <v>0</v>
      </c>
      <c r="E24" s="367">
        <f>IFERROR(AVERAGE(INDEX('미니게임_DATA(순)'!$E$4:$R$60,MATCH($A24,'미니게임_DATA(순)'!$A$4:$A$60,0),0)),0)</f>
        <v>0</v>
      </c>
      <c r="F24" s="99">
        <f>MAX(INDEX('미니게임_DATA(순)'!$S$4:$BB$65,MATCH($A24,'미니게임_DATA(순)'!$A$4:$A$65,0),0))</f>
        <v>0</v>
      </c>
      <c r="G24" s="367">
        <f>IFERROR(AVERAGE(INDEX('미니게임_DATA(순)'!$S$4:$BB$65,MATCH($A24,'미니게임_DATA(순)'!$A$4:$A$65,0),0)),0)</f>
        <v>0</v>
      </c>
      <c r="H24" s="99">
        <f>MAX(INDEX('미니게임_DATA(순)'!$BD$4:$CY$65,MATCH($A24,'미니게임_DATA(순)'!$A$4:$A$65,0),0))</f>
        <v>201</v>
      </c>
      <c r="I24" s="367">
        <f>IFERROR(AVERAGE(INDEX('미니게임_DATA(순)'!$BD$4:$CY$65,MATCH($A24,'미니게임_DATA(순)'!$A$4:$A$65,0),0)),0)</f>
        <v>164.44444444444446</v>
      </c>
      <c r="J24" s="99">
        <f>MAX(INDEX('미니게임_DATA(순)'!$DB$4:$EU$65,MATCH($A24,'미니게임_DATA(순)'!$A$4:$A$65,0),0))</f>
        <v>198</v>
      </c>
      <c r="K24" s="367">
        <f>IFERROR(AVERAGE(INDEX('미니게임_DATA(순)'!$DB$4:$EU$65,MATCH($A24,'미니게임_DATA(순)'!$A$4:$A$65,0),0)),0)</f>
        <v>159.23809523809524</v>
      </c>
      <c r="L24" s="45"/>
      <c r="M24" s="367">
        <f t="shared" si="0"/>
        <v>-5.2063492063492163</v>
      </c>
      <c r="N24" s="367">
        <f>IFERROR(AVERAGE(INDEX('미니게임_DATA(순)'!$E$4:$EU$44,MATCH(A24,'미니게임_DATA(순)'!$A$4:$A$44,0),0)),0)</f>
        <v>160.80000000000001</v>
      </c>
    </row>
    <row r="25" spans="1:14">
      <c r="A25" s="55" t="s">
        <v>50</v>
      </c>
      <c r="B25" s="55" t="s">
        <v>191</v>
      </c>
      <c r="C25" s="55" t="s">
        <v>155</v>
      </c>
      <c r="D25" s="99">
        <f>MAX(INDEX('미니게임_DATA(순)'!$E$4:$R$60,MATCH(A25,'미니게임_DATA(순)'!$A$4:$A$60,0),0))</f>
        <v>202</v>
      </c>
      <c r="E25" s="367">
        <f>IFERROR(AVERAGE(INDEX('미니게임_DATA(순)'!$E$4:$R$60,MATCH($A25,'미니게임_DATA(순)'!$A$4:$A$60,0),0)),0)</f>
        <v>160.80000000000001</v>
      </c>
      <c r="F25" s="99">
        <f>MAX(INDEX('미니게임_DATA(순)'!$S$4:$BB$65,MATCH($A25,'미니게임_DATA(순)'!$A$4:$A$65,0),0))</f>
        <v>225</v>
      </c>
      <c r="G25" s="367">
        <f>IFERROR(AVERAGE(INDEX('미니게임_DATA(순)'!$S$4:$BB$65,MATCH($A25,'미니게임_DATA(순)'!$A$4:$A$65,0),0)),0)</f>
        <v>159.5</v>
      </c>
      <c r="H25" s="99">
        <f>MAX(INDEX('미니게임_DATA(순)'!$BD$4:$CY$65,MATCH($A25,'미니게임_DATA(순)'!$A$4:$A$65,0),0))</f>
        <v>204</v>
      </c>
      <c r="I25" s="367">
        <f>IFERROR(AVERAGE(INDEX('미니게임_DATA(순)'!$BD$4:$CY$65,MATCH($A25,'미니게임_DATA(순)'!$A$4:$A$65,0),0)),0)</f>
        <v>162</v>
      </c>
      <c r="J25" s="99">
        <f>MAX(INDEX('미니게임_DATA(순)'!$DB$4:$EU$65,MATCH($A25,'미니게임_DATA(순)'!$A$4:$A$65,0),0))</f>
        <v>186</v>
      </c>
      <c r="K25" s="367">
        <f>IFERROR(AVERAGE(INDEX('미니게임_DATA(순)'!$DB$4:$EU$65,MATCH($A25,'미니게임_DATA(순)'!$A$4:$A$65,0),0)),0)</f>
        <v>157</v>
      </c>
      <c r="L25" s="45"/>
      <c r="M25" s="367">
        <f t="shared" si="0"/>
        <v>-5</v>
      </c>
      <c r="N25" s="367">
        <f>IFERROR(AVERAGE(INDEX('미니게임_DATA(순)'!$E$4:$EU$44,MATCH(A25,'미니게임_DATA(순)'!$A$4:$A$44,0),0)),0)</f>
        <v>160.43589743589743</v>
      </c>
    </row>
    <row r="26" spans="1:14" hidden="1">
      <c r="A26" s="74" t="s">
        <v>71</v>
      </c>
      <c r="B26" s="74" t="s">
        <v>193</v>
      </c>
      <c r="C26" s="74" t="s">
        <v>157</v>
      </c>
      <c r="D26" s="99">
        <f>MAX(INDEX('미니게임_DATA(순)'!$E$4:$R$44,MATCH(A26,'미니게임_DATA(순)'!$A$4:$A$44,0),0))</f>
        <v>200</v>
      </c>
      <c r="E26" s="99">
        <f>IFERROR(AVERAGE(INDEX('미니게임_DATA(순)'!$E$4:$R$44,MATCH($A26,'미니게임_DATA(순)'!$A$4:$A$44,0),0)),0)</f>
        <v>142</v>
      </c>
      <c r="F26" s="99">
        <f>MAX(INDEX('미니게임_DATA(순)'!$S$4:$BB$60,MATCH($A26,'미니게임_DATA(순)'!$A$4:$A$60,0),0))</f>
        <v>232</v>
      </c>
      <c r="G26" s="367">
        <f>IFERROR(AVERAGE(INDEX('미니게임_DATA(순)'!$S$4:$BB$60,MATCH($A26,'미니게임_DATA(순)'!$A$4:$A$60,0),0)),0)</f>
        <v>163.68965517241378</v>
      </c>
      <c r="H26" s="99">
        <f>MAX(INDEX('미니게임_DATA(순)'!$BD$4:$CY$60,MATCH($A26,'미니게임_DATA(순)'!$A$4:$A$60,0),0))</f>
        <v>185</v>
      </c>
      <c r="I26" s="367">
        <f>IFERROR(AVERAGE(INDEX('미니게임_DATA(순)'!$BD$4:$CY$60,MATCH($A26,'미니게임_DATA(순)'!$A$4:$A$60,0),0)),0)</f>
        <v>155.11111111111111</v>
      </c>
      <c r="J26" s="99">
        <f>MAX(INDEX('미니게임_DATA(순)'!$DB$4:$EU$60,MATCH($A26,'미니게임_DATA(순)'!$A$4:$A$60,0),0))</f>
        <v>0</v>
      </c>
      <c r="K26" s="367">
        <f>IFERROR(AVERAGE(INDEX('미니게임_DATA(순)'!$DB$4:$EU$60,MATCH($A26,'미니게임_DATA(순)'!$A$4:$A$60,0),0)),0)</f>
        <v>0</v>
      </c>
    </row>
    <row r="27" spans="1:14">
      <c r="A27" s="59" t="s">
        <v>292</v>
      </c>
      <c r="B27" s="252" t="s">
        <v>191</v>
      </c>
      <c r="C27" s="252" t="s">
        <v>157</v>
      </c>
      <c r="D27" s="99">
        <f>MAX(INDEX('미니게임_DATA(순)'!$E$4:$R$60,MATCH(A27,'미니게임_DATA(순)'!$A$4:$A$60,0),0))</f>
        <v>0</v>
      </c>
      <c r="E27" s="367">
        <f>IFERROR(AVERAGE(INDEX('미니게임_DATA(순)'!$E$4:$R$60,MATCH($A27,'미니게임_DATA(순)'!$A$4:$A$60,0),0)),0)</f>
        <v>0</v>
      </c>
      <c r="F27" s="99">
        <f>MAX(INDEX('미니게임_DATA(순)'!$S$4:$BB$65,MATCH($A27,'미니게임_DATA(순)'!$A$4:$A$65,0),0))</f>
        <v>0</v>
      </c>
      <c r="G27" s="367">
        <f>IFERROR(AVERAGE(INDEX('미니게임_DATA(순)'!$S$4:$BB$65,MATCH($A27,'미니게임_DATA(순)'!$A$4:$A$65,0),0)),0)</f>
        <v>0</v>
      </c>
      <c r="H27" s="99">
        <f>MAX(INDEX('미니게임_DATA(순)'!$BD$4:$CY$65,MATCH($A27,'미니게임_DATA(순)'!$A$4:$A$65,0),0))</f>
        <v>173</v>
      </c>
      <c r="I27" s="367">
        <f>IFERROR(AVERAGE(INDEX('미니게임_DATA(순)'!$BD$4:$CY$65,MATCH($A27,'미니게임_DATA(순)'!$A$4:$A$65,0),0)),0)</f>
        <v>144.11111111111111</v>
      </c>
      <c r="J27" s="99">
        <f>MAX(INDEX('미니게임_DATA(순)'!$DB$4:$EU$65,MATCH($A27,'미니게임_DATA(순)'!$A$4:$A$65,0),0))</f>
        <v>208</v>
      </c>
      <c r="K27" s="367">
        <f>IFERROR(AVERAGE(INDEX('미니게임_DATA(순)'!$DB$4:$EU$65,MATCH($A27,'미니게임_DATA(순)'!$A$4:$A$65,0),0)),0)</f>
        <v>160.33333333333334</v>
      </c>
      <c r="L27" s="45"/>
      <c r="M27" s="367">
        <f>IF(AND(K27&gt;0, I27&gt;0),K27-I27,0)</f>
        <v>16.222222222222229</v>
      </c>
      <c r="N27" s="367">
        <f>IFERROR(AVERAGE(INDEX('미니게임_DATA(순)'!$E$4:$EU$44,MATCH(A27,'미니게임_DATA(순)'!$A$4:$A$44,0),0)),0)</f>
        <v>156.27777777777777</v>
      </c>
    </row>
    <row r="28" spans="1:14">
      <c r="A28" s="55" t="s">
        <v>79</v>
      </c>
      <c r="B28" s="55" t="s">
        <v>191</v>
      </c>
      <c r="C28" s="55" t="s">
        <v>156</v>
      </c>
      <c r="D28" s="99">
        <f>MAX(INDEX('미니게임_DATA(순)'!$E$4:$R$60,MATCH(A28,'미니게임_DATA(순)'!$A$4:$A$60,0),0))</f>
        <v>0</v>
      </c>
      <c r="E28" s="367">
        <f>IFERROR(AVERAGE(INDEX('미니게임_DATA(순)'!$E$4:$R$60,MATCH($A28,'미니게임_DATA(순)'!$A$4:$A$60,0),0)),0)</f>
        <v>0</v>
      </c>
      <c r="F28" s="99">
        <f>MAX(INDEX('미니게임_DATA(순)'!$S$4:$BB$65,MATCH($A28,'미니게임_DATA(순)'!$A$4:$A$65,0),0))</f>
        <v>198</v>
      </c>
      <c r="G28" s="367">
        <f>IFERROR(AVERAGE(INDEX('미니게임_DATA(순)'!$S$4:$BB$65,MATCH($A28,'미니게임_DATA(순)'!$A$4:$A$65,0),0)),0)</f>
        <v>149.84210526315789</v>
      </c>
      <c r="H28" s="99">
        <f>MAX(INDEX('미니게임_DATA(순)'!$BD$4:$CY$65,MATCH($A28,'미니게임_DATA(순)'!$A$4:$A$65,0),0))</f>
        <v>197</v>
      </c>
      <c r="I28" s="367">
        <f>IFERROR(AVERAGE(INDEX('미니게임_DATA(순)'!$BD$4:$CY$65,MATCH($A28,'미니게임_DATA(순)'!$A$4:$A$65,0),0)),0)</f>
        <v>157.03333333333333</v>
      </c>
      <c r="J28" s="99">
        <f>MAX(INDEX('미니게임_DATA(순)'!$DB$4:$EU$65,MATCH($A28,'미니게임_DATA(순)'!$A$4:$A$65,0),0))</f>
        <v>213</v>
      </c>
      <c r="K28" s="367">
        <f>IFERROR(AVERAGE(INDEX('미니게임_DATA(순)'!$DB$4:$EU$65,MATCH($A28,'미니게임_DATA(순)'!$A$4:$A$65,0),0)),0)</f>
        <v>158.33333333333334</v>
      </c>
      <c r="L28" s="45"/>
      <c r="M28" s="367">
        <f>IF(AND(K28&gt;0, I28&gt;0),K28-I28,0)</f>
        <v>1.3000000000000114</v>
      </c>
      <c r="N28" s="367">
        <f>IFERROR(AVERAGE(INDEX('미니게임_DATA(순)'!$E$4:$EU$44,MATCH(A28,'미니게임_DATA(순)'!$A$4:$A$44,0),0)),0)</f>
        <v>155.89024390243901</v>
      </c>
    </row>
    <row r="29" spans="1:14">
      <c r="A29" s="55" t="s">
        <v>54</v>
      </c>
      <c r="B29" s="55" t="s">
        <v>191</v>
      </c>
      <c r="C29" s="55" t="s">
        <v>156</v>
      </c>
      <c r="D29" s="99">
        <f>MAX(INDEX('미니게임_DATA(순)'!$E$4:$R$60,MATCH(A29,'미니게임_DATA(순)'!$A$4:$A$60,0),0))</f>
        <v>180</v>
      </c>
      <c r="E29" s="367">
        <f>IFERROR(AVERAGE(INDEX('미니게임_DATA(순)'!$E$4:$R$60,MATCH($A29,'미니게임_DATA(순)'!$A$4:$A$60,0),0)),0)</f>
        <v>148</v>
      </c>
      <c r="F29" s="99">
        <f>MAX(INDEX('미니게임_DATA(순)'!$S$4:$BB$65,MATCH($A29,'미니게임_DATA(순)'!$A$4:$A$65,0),0))</f>
        <v>214</v>
      </c>
      <c r="G29" s="367">
        <f>IFERROR(AVERAGE(INDEX('미니게임_DATA(순)'!$S$4:$BB$65,MATCH($A29,'미니게임_DATA(순)'!$A$4:$A$65,0),0)),0)</f>
        <v>157.47058823529412</v>
      </c>
      <c r="H29" s="99">
        <f>MAX(INDEX('미니게임_DATA(순)'!$BD$4:$CY$65,MATCH($A29,'미니게임_DATA(순)'!$A$4:$A$65,0),0))</f>
        <v>214</v>
      </c>
      <c r="I29" s="367">
        <f>IFERROR(AVERAGE(INDEX('미니게임_DATA(순)'!$BD$4:$CY$65,MATCH($A29,'미니게임_DATA(순)'!$A$4:$A$65,0),0)),0)</f>
        <v>162.44444444444446</v>
      </c>
      <c r="J29" s="99">
        <f>MAX(INDEX('미니게임_DATA(순)'!$DB$4:$EU$65,MATCH($A29,'미니게임_DATA(순)'!$A$4:$A$65,0),0))</f>
        <v>191</v>
      </c>
      <c r="K29" s="367">
        <f>IFERROR(AVERAGE(INDEX('미니게임_DATA(순)'!$DB$4:$EU$65,MATCH($A29,'미니게임_DATA(순)'!$A$4:$A$65,0),0)),0)</f>
        <v>152.71428571428572</v>
      </c>
      <c r="L29" s="45"/>
      <c r="M29" s="367">
        <f>IF(AND(K29&gt;0, I29&gt;0),K29-I29,0)</f>
        <v>-9.7301587301587347</v>
      </c>
      <c r="N29" s="367">
        <f>IFERROR(AVERAGE(INDEX('미니게임_DATA(순)'!$E$4:$EU$44,MATCH(A29,'미니게임_DATA(순)'!$A$4:$A$44,0),0)),0)</f>
        <v>157.51886792452831</v>
      </c>
    </row>
    <row r="30" spans="1:14">
      <c r="A30" s="55" t="s">
        <v>82</v>
      </c>
      <c r="B30" s="55" t="s">
        <v>191</v>
      </c>
      <c r="C30" s="55" t="s">
        <v>156</v>
      </c>
      <c r="D30" s="99">
        <f>MAX(INDEX('미니게임_DATA(순)'!$E$4:$R$60,MATCH(A30,'미니게임_DATA(순)'!$A$4:$A$60,0),0))</f>
        <v>173</v>
      </c>
      <c r="E30" s="367">
        <f>IFERROR(AVERAGE(INDEX('미니게임_DATA(순)'!$E$4:$R$60,MATCH($A30,'미니게임_DATA(순)'!$A$4:$A$60,0),0)),0)</f>
        <v>121.25</v>
      </c>
      <c r="F30" s="99">
        <f>MAX(INDEX('미니게임_DATA(순)'!$S$4:$BB$65,MATCH($A30,'미니게임_DATA(순)'!$A$4:$A$65,0),0))</f>
        <v>203</v>
      </c>
      <c r="G30" s="367">
        <f>IFERROR(AVERAGE(INDEX('미니게임_DATA(순)'!$S$4:$BB$65,MATCH($A30,'미니게임_DATA(순)'!$A$4:$A$65,0),0)),0)</f>
        <v>157.67857142857142</v>
      </c>
      <c r="H30" s="99">
        <f>MAX(INDEX('미니게임_DATA(순)'!$BD$4:$CY$65,MATCH($A30,'미니게임_DATA(순)'!$A$4:$A$65,0),0))</f>
        <v>227</v>
      </c>
      <c r="I30" s="367">
        <f>IFERROR(AVERAGE(INDEX('미니게임_DATA(순)'!$BD$4:$CY$65,MATCH($A30,'미니게임_DATA(순)'!$A$4:$A$65,0),0)),0)</f>
        <v>153.33333333333334</v>
      </c>
      <c r="J30" s="99">
        <f>MAX(INDEX('미니게임_DATA(순)'!$DB$4:$EU$65,MATCH($A30,'미니게임_DATA(순)'!$A$4:$A$65,0),0))</f>
        <v>185</v>
      </c>
      <c r="K30" s="367">
        <f>IFERROR(AVERAGE(INDEX('미니게임_DATA(순)'!$DB$4:$EU$65,MATCH($A30,'미니게임_DATA(순)'!$A$4:$A$65,0),0)),0)</f>
        <v>149.22222222222223</v>
      </c>
      <c r="L30" s="45"/>
      <c r="M30" s="367">
        <f>IF(AND(K30&gt;0, I30&gt;0),K30-I30,0)</f>
        <v>-4.1111111111111143</v>
      </c>
      <c r="N30" s="367">
        <f>IFERROR(AVERAGE(INDEX('미니게임_DATA(순)'!$E$4:$EU$44,MATCH(A30,'미니게임_DATA(순)'!$A$4:$A$44,0),0)),0)</f>
        <v>150.78378378378378</v>
      </c>
    </row>
    <row r="31" spans="1:14" hidden="1">
      <c r="A31" s="55" t="s">
        <v>61</v>
      </c>
      <c r="B31" s="55" t="s">
        <v>340</v>
      </c>
      <c r="C31" s="55" t="s">
        <v>156</v>
      </c>
      <c r="D31" s="99">
        <f>MAX(INDEX('미니게임_DATA(순)'!$E$4:$R$44,MATCH(A31,'미니게임_DATA(순)'!$A$4:$A$44,0),0))</f>
        <v>191</v>
      </c>
      <c r="E31" s="99">
        <f>IFERROR(AVERAGE(INDEX('미니게임_DATA(순)'!$E$4:$R$44,MATCH($A31,'미니게임_DATA(순)'!$A$4:$A$44,0),0)),0)</f>
        <v>168.75</v>
      </c>
      <c r="F31" s="99">
        <f>MAX(INDEX('미니게임_DATA(순)'!$S$4:$BB$60,MATCH($A31,'미니게임_DATA(순)'!$A$4:$A$60,0),0))</f>
        <v>189</v>
      </c>
      <c r="G31" s="367">
        <f>IFERROR(AVERAGE(INDEX('미니게임_DATA(순)'!$S$4:$BB$60,MATCH($A31,'미니게임_DATA(순)'!$A$4:$A$60,0),0)),0)</f>
        <v>170</v>
      </c>
      <c r="H31" s="99">
        <f>MAX(INDEX('미니게임_DATA(순)'!$BD$4:$CY$60,MATCH($A31,'미니게임_DATA(순)'!$A$4:$A$60,0),0))</f>
        <v>0</v>
      </c>
      <c r="I31" s="367">
        <f>IFERROR(AVERAGE(INDEX('미니게임_DATA(순)'!$BD$4:$CY$60,MATCH($A31,'미니게임_DATA(순)'!$A$4:$A$60,0),0)),0)</f>
        <v>0</v>
      </c>
      <c r="J31" s="99">
        <f>MAX(INDEX('미니게임_DATA(순)'!$DB$4:$EU$60,MATCH($A31,'미니게임_DATA(순)'!$A$4:$A$60,0),0))</f>
        <v>0</v>
      </c>
      <c r="K31" s="367">
        <f>IFERROR(AVERAGE(INDEX('미니게임_DATA(순)'!$DB$4:$EU$60,MATCH($A31,'미니게임_DATA(순)'!$A$4:$A$60,0),0)),0)</f>
        <v>0</v>
      </c>
    </row>
    <row r="32" spans="1:14">
      <c r="A32" s="59" t="s">
        <v>293</v>
      </c>
      <c r="B32" s="252" t="s">
        <v>191</v>
      </c>
      <c r="C32" s="252" t="s">
        <v>157</v>
      </c>
      <c r="D32" s="99">
        <f>MAX(INDEX('미니게임_DATA(순)'!$E$4:$R$60,MATCH(A32,'미니게임_DATA(순)'!$A$4:$A$60,0),0))</f>
        <v>0</v>
      </c>
      <c r="E32" s="367">
        <f>IFERROR(AVERAGE(INDEX('미니게임_DATA(순)'!$E$4:$R$60,MATCH($A32,'미니게임_DATA(순)'!$A$4:$A$60,0),0)),0)</f>
        <v>0</v>
      </c>
      <c r="F32" s="99">
        <f>MAX(INDEX('미니게임_DATA(순)'!$S$4:$BB$65,MATCH($A32,'미니게임_DATA(순)'!$A$4:$A$65,0),0))</f>
        <v>0</v>
      </c>
      <c r="G32" s="367">
        <f>IFERROR(AVERAGE(INDEX('미니게임_DATA(순)'!$S$4:$BB$65,MATCH($A32,'미니게임_DATA(순)'!$A$4:$A$65,0),0)),0)</f>
        <v>0</v>
      </c>
      <c r="H32" s="99">
        <f>MAX(INDEX('미니게임_DATA(순)'!$BD$4:$CY$65,MATCH($A32,'미니게임_DATA(순)'!$A$4:$A$65,0),0))</f>
        <v>171</v>
      </c>
      <c r="I32" s="367">
        <f>IFERROR(AVERAGE(INDEX('미니게임_DATA(순)'!$BD$4:$CY$65,MATCH($A32,'미니게임_DATA(순)'!$A$4:$A$65,0),0)),0)</f>
        <v>137.06666666666666</v>
      </c>
      <c r="J32" s="99">
        <f>MAX(INDEX('미니게임_DATA(순)'!$DB$4:$EU$65,MATCH($A32,'미니게임_DATA(순)'!$A$4:$A$65,0),0))</f>
        <v>213</v>
      </c>
      <c r="K32" s="367">
        <f>IFERROR(AVERAGE(INDEX('미니게임_DATA(순)'!$DB$4:$EU$65,MATCH($A32,'미니게임_DATA(순)'!$A$4:$A$65,0),0)),0)</f>
        <v>152.72727272727272</v>
      </c>
      <c r="L32" s="45"/>
      <c r="M32" s="367">
        <f>IF(AND(K32&gt;0, I32&gt;0),K32-I32,0)</f>
        <v>15.660606060606057</v>
      </c>
      <c r="N32" s="367">
        <f>IFERROR(AVERAGE(INDEX('미니게임_DATA(순)'!$E$4:$EU$44,MATCH(A32,'미니게임_DATA(순)'!$A$4:$A$44,0),0)),0)</f>
        <v>147.83333333333334</v>
      </c>
    </row>
    <row r="33" spans="1:14">
      <c r="A33" s="55" t="s">
        <v>66</v>
      </c>
      <c r="B33" s="55" t="s">
        <v>191</v>
      </c>
      <c r="C33" s="55" t="s">
        <v>156</v>
      </c>
      <c r="D33" s="99">
        <f>MAX(INDEX('미니게임_DATA(순)'!$E$4:$R$60,MATCH(A33,'미니게임_DATA(순)'!$A$4:$A$60,0),0))</f>
        <v>214</v>
      </c>
      <c r="E33" s="367">
        <f>IFERROR(AVERAGE(INDEX('미니게임_DATA(순)'!$E$4:$R$60,MATCH($A33,'미니게임_DATA(순)'!$A$4:$A$60,0),0)),0)</f>
        <v>156.15384615384616</v>
      </c>
      <c r="F33" s="99">
        <f>MAX(INDEX('미니게임_DATA(순)'!$S$4:$BB$65,MATCH($A33,'미니게임_DATA(순)'!$A$4:$A$65,0),0))</f>
        <v>256</v>
      </c>
      <c r="G33" s="367">
        <f>IFERROR(AVERAGE(INDEX('미니게임_DATA(순)'!$S$4:$BB$65,MATCH($A33,'미니게임_DATA(순)'!$A$4:$A$65,0),0)),0)</f>
        <v>161.96153846153845</v>
      </c>
      <c r="H33" s="99">
        <f>MAX(INDEX('미니게임_DATA(순)'!$BD$4:$CY$65,MATCH($A33,'미니게임_DATA(순)'!$A$4:$A$65,0),0))</f>
        <v>201</v>
      </c>
      <c r="I33" s="367">
        <f>IFERROR(AVERAGE(INDEX('미니게임_DATA(순)'!$BD$4:$CY$65,MATCH($A33,'미니게임_DATA(순)'!$A$4:$A$65,0),0)),0)</f>
        <v>148.66666666666666</v>
      </c>
      <c r="J33" s="99">
        <f>MAX(INDEX('미니게임_DATA(순)'!$DB$4:$EU$65,MATCH($A33,'미니게임_DATA(순)'!$A$4:$A$65,0),0))</f>
        <v>176</v>
      </c>
      <c r="K33" s="367">
        <f>IFERROR(AVERAGE(INDEX('미니게임_DATA(순)'!$DB$4:$EU$65,MATCH($A33,'미니게임_DATA(순)'!$A$4:$A$65,0),0)),0)</f>
        <v>143.16666666666666</v>
      </c>
      <c r="L33" s="45"/>
      <c r="M33" s="367">
        <f>IF(AND(K33&gt;0, I33&gt;0),K33-I33,0)</f>
        <v>-5.5</v>
      </c>
      <c r="N33" s="367">
        <f>IFERROR(AVERAGE(INDEX('미니게임_DATA(순)'!$E$4:$EU$44,MATCH(A33,'미니게임_DATA(순)'!$A$4:$A$44,0),0)),0)</f>
        <v>152.0392156862745</v>
      </c>
    </row>
    <row r="34" spans="1:14">
      <c r="A34" s="55" t="s">
        <v>401</v>
      </c>
      <c r="B34" s="55" t="s">
        <v>191</v>
      </c>
      <c r="C34" s="55" t="s">
        <v>156</v>
      </c>
      <c r="D34" s="99">
        <f>MAX(INDEX('미니게임_DATA(순)'!$E$4:$R$60,MATCH(A34,'미니게임_DATA(순)'!$A$4:$A$60,0),0))</f>
        <v>169</v>
      </c>
      <c r="E34" s="367">
        <f>IFERROR(AVERAGE(INDEX('미니게임_DATA(순)'!$E$4:$R$60,MATCH($A34,'미니게임_DATA(순)'!$A$4:$A$60,0),0)),0)</f>
        <v>143</v>
      </c>
      <c r="F34" s="99">
        <f>MAX(INDEX('미니게임_DATA(순)'!$S$4:$BB$65,MATCH($A34,'미니게임_DATA(순)'!$A$4:$A$65,0),0))</f>
        <v>195</v>
      </c>
      <c r="G34" s="367">
        <f>IFERROR(AVERAGE(INDEX('미니게임_DATA(순)'!$S$4:$BB$65,MATCH($A34,'미니게임_DATA(순)'!$A$4:$A$65,0),0)),0)</f>
        <v>144.5</v>
      </c>
      <c r="H34" s="99">
        <f>MAX(INDEX('미니게임_DATA(순)'!$BD$4:$CY$65,MATCH($A34,'미니게임_DATA(순)'!$A$4:$A$65,0),0))</f>
        <v>0</v>
      </c>
      <c r="I34" s="367">
        <f>IFERROR(AVERAGE(INDEX('미니게임_DATA(순)'!$BD$4:$CY$65,MATCH($A34,'미니게임_DATA(순)'!$A$4:$A$65,0),0)),0)</f>
        <v>0</v>
      </c>
      <c r="J34" s="99">
        <f>MAX(INDEX('미니게임_DATA(순)'!$DB$4:$EU$65,MATCH($A34,'미니게임_DATA(순)'!$A$4:$A$65,0),0))</f>
        <v>182</v>
      </c>
      <c r="K34" s="367">
        <f>IFERROR(AVERAGE(INDEX('미니게임_DATA(순)'!$DB$4:$EU$65,MATCH($A34,'미니게임_DATA(순)'!$A$4:$A$65,0),0)),0)</f>
        <v>136.54166666666666</v>
      </c>
      <c r="L34" s="45"/>
      <c r="M34" s="367">
        <f>IF(AND(K34&gt;0, I34&gt;0),K34-I34,0)</f>
        <v>0</v>
      </c>
      <c r="N34" s="367">
        <f>IFERROR(AVERAGE(INDEX('미니게임_DATA(순)'!$E$4:$EU$44,MATCH(A34,'미니게임_DATA(순)'!$A$4:$A$44,0),0)),0)</f>
        <v>138.82857142857142</v>
      </c>
    </row>
    <row r="35" spans="1:14">
      <c r="A35" s="48" t="s">
        <v>49</v>
      </c>
      <c r="B35" s="48" t="s">
        <v>194</v>
      </c>
      <c r="C35" s="48" t="s">
        <v>156</v>
      </c>
      <c r="D35" s="99">
        <f>MAX(INDEX('미니게임_DATA(순)'!$E$4:$R$44,MATCH(A35,'미니게임_DATA(순)'!$A$4:$A$44,0),0))</f>
        <v>0</v>
      </c>
      <c r="E35" s="99">
        <f>IFERROR(AVERAGE(INDEX('미니게임_DATA(순)'!$E$4:$R$44,MATCH($A35,'미니게임_DATA(순)'!$A$4:$A$44,0),0)),0)</f>
        <v>0</v>
      </c>
      <c r="F35" s="99">
        <f>MAX(INDEX('미니게임_DATA(순)'!$S$4:$BB$65,MATCH($A35,'미니게임_DATA(순)'!$A$4:$A$65,0),0))</f>
        <v>114</v>
      </c>
      <c r="G35" s="367">
        <f>IFERROR(AVERAGE(INDEX('미니게임_DATA(순)'!$S$4:$BB$65,MATCH($A35,'미니게임_DATA(순)'!$A$4:$A$65,0),0)),0)</f>
        <v>102.5</v>
      </c>
      <c r="H35" s="99">
        <f>MAX(INDEX('미니게임_DATA(순)'!$BD$4:$CY$65,MATCH($A35,'미니게임_DATA(순)'!$A$4:$A$65,0),0))</f>
        <v>155</v>
      </c>
      <c r="I35" s="367">
        <f>IFERROR(AVERAGE(INDEX('미니게임_DATA(순)'!$BD$4:$CY$65,MATCH($A35,'미니게임_DATA(순)'!$A$4:$A$65,0),0)),0)</f>
        <v>115.46666666666667</v>
      </c>
      <c r="J35" s="99">
        <f>MAX(INDEX('미니게임_DATA(순)'!$DB$4:$EU$65,MATCH($A35,'미니게임_DATA(순)'!$A$4:$A$65,0),0))</f>
        <v>179</v>
      </c>
      <c r="K35" s="367">
        <f>IFERROR(AVERAGE(INDEX('미니게임_DATA(순)'!$DB$4:$EU$65,MATCH($A35,'미니게임_DATA(순)'!$A$4:$A$65,0),0)),0)</f>
        <v>130.03703703703704</v>
      </c>
      <c r="L35" s="45"/>
      <c r="M35" s="45"/>
      <c r="N35" s="367">
        <f>IFERROR(AVERAGE(INDEX('미니게임_DATA(순)'!$E$4:$EU$44,MATCH(A35,'미니게임_DATA(순)'!$A$4:$A$44,0),0)),0)</f>
        <v>122.04166666666667</v>
      </c>
    </row>
    <row r="36" spans="1:14">
      <c r="A36" s="48" t="s">
        <v>371</v>
      </c>
      <c r="B36" s="48" t="s">
        <v>194</v>
      </c>
      <c r="C36" s="48" t="s">
        <v>156</v>
      </c>
      <c r="D36" s="99">
        <f>MAX(INDEX('미니게임_DATA(순)'!$E$4:$R$60,MATCH(A36,'미니게임_DATA(순)'!$A$4:$A$60,0),0))</f>
        <v>0</v>
      </c>
      <c r="E36" s="367">
        <f>IFERROR(AVERAGE(INDEX('미니게임_DATA(순)'!$E$4:$R$60,MATCH($A36,'미니게임_DATA(순)'!$A$4:$A$60,0),0)),0)</f>
        <v>0</v>
      </c>
      <c r="F36" s="99">
        <f>MAX(INDEX('미니게임_DATA(순)'!$S$4:$BB$65,MATCH($A36,'미니게임_DATA(순)'!$A$4:$A$65,0),0))</f>
        <v>0</v>
      </c>
      <c r="G36" s="367">
        <f>IFERROR(AVERAGE(INDEX('미니게임_DATA(순)'!$S$4:$BB$65,MATCH($A36,'미니게임_DATA(순)'!$A$4:$A$65,0),0)),0)</f>
        <v>0</v>
      </c>
      <c r="H36" s="99">
        <f>MAX(INDEX('미니게임_DATA(순)'!$BD$4:$CY$65,MATCH($A36,'미니게임_DATA(순)'!$A$4:$A$65,0),0))</f>
        <v>0</v>
      </c>
      <c r="I36" s="367">
        <f>IFERROR(AVERAGE(INDEX('미니게임_DATA(순)'!$BD$4:$CY$65,MATCH($A36,'미니게임_DATA(순)'!$A$4:$A$65,0),0)),0)</f>
        <v>0</v>
      </c>
      <c r="J36" s="99">
        <f>MAX(INDEX('미니게임_DATA(순)'!$DB$4:$EU$65,MATCH($A36,'미니게임_DATA(순)'!$A$4:$A$65,0),0))</f>
        <v>172</v>
      </c>
      <c r="K36" s="367">
        <f>IFERROR(AVERAGE(INDEX('미니게임_DATA(순)'!$DB$4:$EU$65,MATCH($A36,'미니게임_DATA(순)'!$A$4:$A$65,0),0)),0)</f>
        <v>122.75</v>
      </c>
      <c r="L36" s="45"/>
      <c r="M36" s="367">
        <f>IF(AND(K36&gt;0, I36&gt;0),K36-I36,0)</f>
        <v>0</v>
      </c>
      <c r="N36" s="367">
        <f>IFERROR(AVERAGE(INDEX('미니게임_DATA(순)'!$E$4:$EU$44,MATCH(A36,'미니게임_DATA(순)'!$A$4:$A$44,0),0)),0)</f>
        <v>122.75</v>
      </c>
    </row>
    <row r="37" spans="1:14">
      <c r="A37" s="55" t="s">
        <v>69</v>
      </c>
      <c r="B37" s="55" t="s">
        <v>191</v>
      </c>
      <c r="C37" s="55" t="s">
        <v>156</v>
      </c>
      <c r="D37" s="99">
        <f>MAX(INDEX('미니게임_DATA(순)'!$E$4:$R$60,MATCH(A37,'미니게임_DATA(순)'!$A$4:$A$60,0),0))</f>
        <v>152</v>
      </c>
      <c r="E37" s="367">
        <f>IFERROR(AVERAGE(INDEX('미니게임_DATA(순)'!$E$4:$R$60,MATCH($A37,'미니게임_DATA(순)'!$A$4:$A$60,0),0)),0)</f>
        <v>150.5</v>
      </c>
      <c r="F37" s="99">
        <f>MAX(INDEX('미니게임_DATA(순)'!$S$4:$BB$65,MATCH($A37,'미니게임_DATA(순)'!$A$4:$A$65,0),0))</f>
        <v>191</v>
      </c>
      <c r="G37" s="367">
        <f>IFERROR(AVERAGE(INDEX('미니게임_DATA(순)'!$S$4:$BB$65,MATCH($A37,'미니게임_DATA(순)'!$A$4:$A$65,0),0)),0)</f>
        <v>150.22222222222223</v>
      </c>
      <c r="H37" s="99">
        <f>MAX(INDEX('미니게임_DATA(순)'!$BD$4:$CY$65,MATCH($A37,'미니게임_DATA(순)'!$A$4:$A$65,0),0))</f>
        <v>200</v>
      </c>
      <c r="I37" s="367">
        <f>IFERROR(AVERAGE(INDEX('미니게임_DATA(순)'!$BD$4:$CY$65,MATCH($A37,'미니게임_DATA(순)'!$A$4:$A$65,0),0)),0)</f>
        <v>155.66666666666666</v>
      </c>
      <c r="J37" s="99">
        <f>MAX(INDEX('미니게임_DATA(순)'!$DB$4:$EU$65,MATCH($A37,'미니게임_DATA(순)'!$A$4:$A$65,0),0))</f>
        <v>134</v>
      </c>
      <c r="K37" s="367">
        <f>IFERROR(AVERAGE(INDEX('미니게임_DATA(순)'!$DB$4:$EU$65,MATCH($A37,'미니게임_DATA(순)'!$A$4:$A$65,0),0)),0)</f>
        <v>122</v>
      </c>
      <c r="L37" s="45"/>
      <c r="M37" s="367">
        <f>IF(AND(K37&gt;0, I37&gt;0),K37-I37,0)</f>
        <v>-33.666666666666657</v>
      </c>
      <c r="N37" s="367">
        <f>IFERROR(AVERAGE(INDEX('미니게임_DATA(순)'!$E$4:$EU$44,MATCH(A37,'미니게임_DATA(순)'!$A$4:$A$44,0),0)),0)</f>
        <v>146.23529411764707</v>
      </c>
    </row>
    <row r="38" spans="1:14">
      <c r="A38" s="48" t="s">
        <v>332</v>
      </c>
      <c r="B38" s="48" t="s">
        <v>194</v>
      </c>
      <c r="C38" s="48" t="s">
        <v>156</v>
      </c>
      <c r="D38" s="99">
        <f>MAX(INDEX('미니게임_DATA(순)'!$E$4:$R$60,MATCH(A38,'미니게임_DATA(순)'!$A$4:$A$60,0),0))</f>
        <v>0</v>
      </c>
      <c r="E38" s="367">
        <f>IFERROR(AVERAGE(INDEX('미니게임_DATA(순)'!$E$4:$R$60,MATCH($A38,'미니게임_DATA(순)'!$A$4:$A$60,0),0)),0)</f>
        <v>0</v>
      </c>
      <c r="F38" s="99">
        <f>MAX(INDEX('미니게임_DATA(순)'!$S$4:$BB$65,MATCH($A38,'미니게임_DATA(순)'!$A$4:$A$65,0),0))</f>
        <v>0</v>
      </c>
      <c r="G38" s="367">
        <f>IFERROR(AVERAGE(INDEX('미니게임_DATA(순)'!$S$4:$BB$65,MATCH($A38,'미니게임_DATA(순)'!$A$4:$A$65,0),0)),0)</f>
        <v>0</v>
      </c>
      <c r="H38" s="99">
        <f>MAX(INDEX('미니게임_DATA(순)'!$BD$4:$CY$65,MATCH($A38,'미니게임_DATA(순)'!$A$4:$A$65,0),0))</f>
        <v>0</v>
      </c>
      <c r="I38" s="367">
        <f>IFERROR(AVERAGE(INDEX('미니게임_DATA(순)'!$BD$4:$CY$65,MATCH($A38,'미니게임_DATA(순)'!$A$4:$A$65,0),0)),0)</f>
        <v>0</v>
      </c>
      <c r="J38" s="99">
        <f>MAX(INDEX('미니게임_DATA(순)'!$DB$4:$EU$65,MATCH($A38,'미니게임_DATA(순)'!$A$4:$A$65,0),0))</f>
        <v>157</v>
      </c>
      <c r="K38" s="367">
        <f>IFERROR(AVERAGE(INDEX('미니게임_DATA(순)'!$DB$4:$EU$65,MATCH($A38,'미니게임_DATA(순)'!$A$4:$A$65,0),0)),0)</f>
        <v>120.66666666666667</v>
      </c>
      <c r="L38" s="45"/>
      <c r="M38" s="367">
        <f>IF(AND(K38&gt;0, I38&gt;0),K38-I38,0)</f>
        <v>0</v>
      </c>
      <c r="N38" s="367">
        <f>IFERROR(AVERAGE(INDEX('미니게임_DATA(순)'!$E$4:$EU$44,MATCH(A38,'미니게임_DATA(순)'!$A$4:$A$44,0),0)),0)</f>
        <v>0</v>
      </c>
    </row>
    <row r="39" spans="1:14" hidden="1">
      <c r="A39" s="48" t="s">
        <v>64</v>
      </c>
      <c r="B39" s="48" t="s">
        <v>193</v>
      </c>
      <c r="C39" s="48" t="s">
        <v>156</v>
      </c>
      <c r="D39" s="99">
        <f>MAX(INDEX('미니게임_DATA(순)'!$E$4:$R$44,MATCH(A39,'미니게임_DATA(순)'!$A$4:$A$44,0),0))</f>
        <v>0</v>
      </c>
      <c r="E39" s="99">
        <f>IFERROR(AVERAGE(INDEX('미니게임_DATA(순)'!$E$4:$R$44,MATCH($A39,'미니게임_DATA(순)'!$A$4:$A$44,0),0)),0)</f>
        <v>0</v>
      </c>
      <c r="F39" s="99">
        <f>MAX(INDEX('미니게임_DATA(순)'!$S$4:$BB$60,MATCH($A39,'미니게임_DATA(순)'!$A$4:$A$60,0),0))</f>
        <v>167</v>
      </c>
      <c r="G39" s="367">
        <f>IFERROR(AVERAGE(INDEX('미니게임_DATA(순)'!$S$4:$BB$60,MATCH($A39,'미니게임_DATA(순)'!$A$4:$A$60,0),0)),0)</f>
        <v>126.11111111111111</v>
      </c>
      <c r="H39" s="99">
        <f>MAX(INDEX('미니게임_DATA(순)'!$BD$4:$CY$60,MATCH($A39,'미니게임_DATA(순)'!$A$4:$A$60,0),0))</f>
        <v>0</v>
      </c>
      <c r="I39" s="367">
        <f>IFERROR(AVERAGE(INDEX('미니게임_DATA(순)'!$BD$4:$CY$60,MATCH($A39,'미니게임_DATA(순)'!$A$4:$A$60,0),0)),0)</f>
        <v>0</v>
      </c>
      <c r="J39" s="99">
        <f>MAX(INDEX('미니게임_DATA(순)'!$DB$4:$EU$60,MATCH($A39,'미니게임_DATA(순)'!$A$4:$A$60,0),0))</f>
        <v>0</v>
      </c>
      <c r="K39" s="367">
        <f>IFERROR(AVERAGE(INDEX('미니게임_DATA(순)'!$DB$4:$EU$60,MATCH($A39,'미니게임_DATA(순)'!$A$4:$A$60,0),0)),0)</f>
        <v>0</v>
      </c>
      <c r="L39" s="45"/>
      <c r="M39" s="45"/>
      <c r="N39" s="45"/>
    </row>
    <row r="40" spans="1:14" hidden="1">
      <c r="A40" s="55" t="s">
        <v>53</v>
      </c>
      <c r="B40" s="55" t="s">
        <v>192</v>
      </c>
      <c r="C40" s="55" t="s">
        <v>355</v>
      </c>
      <c r="D40" s="99">
        <f>MAX(INDEX('미니게임_DATA(순)'!$E$4:$R$44,MATCH(A40,'미니게임_DATA(순)'!$A$4:$A$44,0),0))</f>
        <v>0</v>
      </c>
      <c r="E40" s="99">
        <f>IFERROR(AVERAGE(INDEX('미니게임_DATA(순)'!$E$4:$R$44,MATCH($A40,'미니게임_DATA(순)'!$A$4:$A$44,0),0)),0)</f>
        <v>0</v>
      </c>
      <c r="F40" s="99">
        <f>MAX(INDEX('미니게임_DATA(순)'!$S$4:$BB$60,MATCH($A40,'미니게임_DATA(순)'!$A$4:$A$60,0),0))</f>
        <v>140</v>
      </c>
      <c r="G40" s="367">
        <f>IFERROR(AVERAGE(INDEX('미니게임_DATA(순)'!$S$4:$BB$60,MATCH($A40,'미니게임_DATA(순)'!$A$4:$A$60,0),0)),0)</f>
        <v>117.77777777777777</v>
      </c>
      <c r="H40" s="99">
        <f>MAX(INDEX('미니게임_DATA(순)'!$BD$4:$CY$60,MATCH($A40,'미니게임_DATA(순)'!$A$4:$A$60,0),0))</f>
        <v>0</v>
      </c>
      <c r="I40" s="367">
        <f>IFERROR(AVERAGE(INDEX('미니게임_DATA(순)'!$BD$4:$CY$60,MATCH($A40,'미니게임_DATA(순)'!$A$4:$A$60,0),0)),0)</f>
        <v>0</v>
      </c>
      <c r="J40" s="99">
        <f>MAX(INDEX('미니게임_DATA(순)'!$DB$4:$EU$60,MATCH($A40,'미니게임_DATA(순)'!$A$4:$A$60,0),0))</f>
        <v>0</v>
      </c>
      <c r="K40" s="367">
        <f>IFERROR(AVERAGE(INDEX('미니게임_DATA(순)'!$DB$4:$EU$60,MATCH($A40,'미니게임_DATA(순)'!$A$4:$A$60,0),0)),0)</f>
        <v>0</v>
      </c>
      <c r="L40" s="45"/>
      <c r="M40" s="45"/>
      <c r="N40" s="45"/>
    </row>
    <row r="41" spans="1:14" hidden="1">
      <c r="A41" s="48" t="s">
        <v>48</v>
      </c>
      <c r="B41" s="48" t="s">
        <v>193</v>
      </c>
      <c r="C41" s="48" t="s">
        <v>356</v>
      </c>
      <c r="D41" s="99">
        <f>MAX(INDEX('미니게임_DATA(순)'!$E$4:$R$44,MATCH(A41,'미니게임_DATA(순)'!$A$4:$A$44,0),0))</f>
        <v>137</v>
      </c>
      <c r="E41" s="99">
        <f>IFERROR(AVERAGE(INDEX('미니게임_DATA(순)'!$E$4:$R$44,MATCH($A41,'미니게임_DATA(순)'!$A$4:$A$44,0),0)),0)</f>
        <v>111</v>
      </c>
      <c r="F41" s="99">
        <f>MAX(INDEX('미니게임_DATA(순)'!$S$4:$BB$60,MATCH($A41,'미니게임_DATA(순)'!$A$4:$A$60,0),0))</f>
        <v>151</v>
      </c>
      <c r="G41" s="367">
        <f>IFERROR(AVERAGE(INDEX('미니게임_DATA(순)'!$S$4:$BB$60,MATCH($A41,'미니게임_DATA(순)'!$A$4:$A$60,0),0)),0)</f>
        <v>118.44444444444444</v>
      </c>
      <c r="H41" s="99">
        <f>MAX(INDEX('미니게임_DATA(순)'!$BD$4:$CY$60,MATCH($A41,'미니게임_DATA(순)'!$A$4:$A$60,0),0))</f>
        <v>0</v>
      </c>
      <c r="I41" s="367">
        <f>IFERROR(AVERAGE(INDEX('미니게임_DATA(순)'!$BD$4:$CY$60,MATCH($A41,'미니게임_DATA(순)'!$A$4:$A$60,0),0)),0)</f>
        <v>0</v>
      </c>
      <c r="J41" s="99">
        <f>MAX(INDEX('미니게임_DATA(순)'!$DB$4:$EU$60,MATCH($A41,'미니게임_DATA(순)'!$A$4:$A$60,0),0))</f>
        <v>0</v>
      </c>
      <c r="K41" s="367">
        <f>IFERROR(AVERAGE(INDEX('미니게임_DATA(순)'!$DB$4:$EU$60,MATCH($A41,'미니게임_DATA(순)'!$A$4:$A$60,0),0)),0)</f>
        <v>0</v>
      </c>
      <c r="L41" s="45"/>
      <c r="M41" s="45"/>
      <c r="N41" s="45"/>
    </row>
    <row r="42" spans="1:14">
      <c r="A42" s="48" t="s">
        <v>339</v>
      </c>
      <c r="B42" s="48" t="s">
        <v>194</v>
      </c>
      <c r="C42" s="48" t="s">
        <v>156</v>
      </c>
      <c r="D42" s="99">
        <f>MAX(INDEX('미니게임_DATA(순)'!$E$4:$R$60,MATCH(A42,'미니게임_DATA(순)'!$A$4:$A$60,0),0))</f>
        <v>0</v>
      </c>
      <c r="E42" s="367">
        <f>IFERROR(AVERAGE(INDEX('미니게임_DATA(순)'!$E$4:$R$60,MATCH($A42,'미니게임_DATA(순)'!$A$4:$A$60,0),0)),0)</f>
        <v>0</v>
      </c>
      <c r="F42" s="99">
        <f>MAX(INDEX('미니게임_DATA(순)'!$S$4:$BB$65,MATCH($A42,'미니게임_DATA(순)'!$A$4:$A$65,0),0))</f>
        <v>0</v>
      </c>
      <c r="G42" s="367">
        <f>IFERROR(AVERAGE(INDEX('미니게임_DATA(순)'!$S$4:$BB$65,MATCH($A42,'미니게임_DATA(순)'!$A$4:$A$65,0),0)),0)</f>
        <v>0</v>
      </c>
      <c r="H42" s="99">
        <f>MAX(INDEX('미니게임_DATA(순)'!$BD$4:$CY$65,MATCH($A42,'미니게임_DATA(순)'!$A$4:$A$65,0),0))</f>
        <v>0</v>
      </c>
      <c r="I42" s="367">
        <f>IFERROR(AVERAGE(INDEX('미니게임_DATA(순)'!$BD$4:$CY$65,MATCH($A42,'미니게임_DATA(순)'!$A$4:$A$65,0),0)),0)</f>
        <v>0</v>
      </c>
      <c r="J42" s="99">
        <f>MAX(INDEX('미니게임_DATA(순)'!$DB$4:$EU$65,MATCH($A42,'미니게임_DATA(순)'!$A$4:$A$65,0),0))</f>
        <v>162</v>
      </c>
      <c r="K42" s="367">
        <f>IFERROR(AVERAGE(INDEX('미니게임_DATA(순)'!$DB$4:$EU$65,MATCH($A42,'미니게임_DATA(순)'!$A$4:$A$65,0),0)),0)</f>
        <v>118.55555555555556</v>
      </c>
      <c r="L42" s="45"/>
      <c r="M42" s="367">
        <f>IF(AND(K42&gt;0, I42&gt;0),K42-I42,0)</f>
        <v>0</v>
      </c>
      <c r="N42" s="367">
        <f>IFERROR(AVERAGE(INDEX('미니게임_DATA(순)'!$E$4:$EU$44,MATCH(A42,'미니게임_DATA(순)'!$A$4:$A$44,0),0)),0)</f>
        <v>118.55555555555556</v>
      </c>
    </row>
    <row r="43" spans="1:14" hidden="1">
      <c r="A43" s="59" t="s">
        <v>70</v>
      </c>
      <c r="B43" s="59" t="s">
        <v>193</v>
      </c>
      <c r="C43" s="59" t="s">
        <v>157</v>
      </c>
      <c r="D43" s="99">
        <f>MAX(INDEX('미니게임_DATA(순)'!$E$4:$R$44,MATCH(A43,'미니게임_DATA(순)'!$A$4:$A$44,0),0))</f>
        <v>0</v>
      </c>
      <c r="E43" s="99">
        <f>IFERROR(AVERAGE(INDEX('미니게임_DATA(순)'!$E$4:$R$44,MATCH($A43,'미니게임_DATA(순)'!$A$4:$A$44,0),0)),0)</f>
        <v>0</v>
      </c>
      <c r="F43" s="99">
        <f>MAX(INDEX('미니게임_DATA(순)'!$S$4:$BB$60,MATCH($A43,'미니게임_DATA(순)'!$A$4:$A$60,0),0))</f>
        <v>141</v>
      </c>
      <c r="G43" s="367">
        <f>IFERROR(AVERAGE(INDEX('미니게임_DATA(순)'!$S$4:$BB$60,MATCH($A43,'미니게임_DATA(순)'!$A$4:$A$60,0),0)),0)</f>
        <v>106.41666666666667</v>
      </c>
      <c r="H43" s="99">
        <f>MAX(INDEX('미니게임_DATA(순)'!$BD$4:$CY$60,MATCH($A43,'미니게임_DATA(순)'!$A$4:$A$60,0),0))</f>
        <v>141</v>
      </c>
      <c r="I43" s="367">
        <f>IFERROR(AVERAGE(INDEX('미니게임_DATA(순)'!$BD$4:$CY$60,MATCH($A43,'미니게임_DATA(순)'!$A$4:$A$60,0),0)),0)</f>
        <v>131.33333333333334</v>
      </c>
      <c r="J43" s="99">
        <f>MAX(INDEX('미니게임_DATA(순)'!$DB$4:$EU$60,MATCH($A43,'미니게임_DATA(순)'!$A$4:$A$60,0),0))</f>
        <v>0</v>
      </c>
      <c r="K43" s="367">
        <f>IFERROR(AVERAGE(INDEX('미니게임_DATA(순)'!$DB$4:$EU$60,MATCH($A43,'미니게임_DATA(순)'!$A$4:$A$60,0),0)),0)</f>
        <v>0</v>
      </c>
      <c r="L43" s="45"/>
      <c r="M43" s="45"/>
      <c r="N43" s="45"/>
    </row>
    <row r="44" spans="1:14" hidden="1">
      <c r="A44" s="72" t="s">
        <v>67</v>
      </c>
      <c r="B44" s="55" t="s">
        <v>192</v>
      </c>
      <c r="C44" s="55" t="s">
        <v>156</v>
      </c>
      <c r="D44" s="99">
        <f>MAX(INDEX('미니게임_DATA(순)'!$E$4:$R$44,MATCH(A44,'미니게임_DATA(순)'!$A$4:$A$44,0),0))</f>
        <v>0</v>
      </c>
      <c r="E44" s="99">
        <f>IFERROR(AVERAGE(INDEX('미니게임_DATA(순)'!$E$4:$R$44,MATCH($A44,'미니게임_DATA(순)'!$A$4:$A$44,0),0)),0)</f>
        <v>0</v>
      </c>
      <c r="F44" s="99">
        <f>MAX(INDEX('미니게임_DATA(순)'!$S$4:$BB$60,MATCH($A44,'미니게임_DATA(순)'!$A$4:$A$60,0),0))</f>
        <v>120</v>
      </c>
      <c r="G44" s="367">
        <f>IFERROR(AVERAGE(INDEX('미니게임_DATA(순)'!$S$4:$BB$60,MATCH($A44,'미니게임_DATA(순)'!$A$4:$A$60,0),0)),0)</f>
        <v>106.33333333333333</v>
      </c>
      <c r="H44" s="99">
        <f>MAX(INDEX('미니게임_DATA(순)'!$BD$4:$CY$60,MATCH($A44,'미니게임_DATA(순)'!$A$4:$A$60,0),0))</f>
        <v>0</v>
      </c>
      <c r="I44" s="367">
        <f>IFERROR(AVERAGE(INDEX('미니게임_DATA(순)'!$BD$4:$CY$60,MATCH($A44,'미니게임_DATA(순)'!$A$4:$A$60,0),0)),0)</f>
        <v>0</v>
      </c>
      <c r="J44" s="99">
        <f>MAX(INDEX('미니게임_DATA(순)'!$DB$4:$EU$60,MATCH($A44,'미니게임_DATA(순)'!$A$4:$A$60,0),0))</f>
        <v>0</v>
      </c>
      <c r="K44" s="367">
        <f>IFERROR(AVERAGE(INDEX('미니게임_DATA(순)'!$DB$4:$EU$60,MATCH($A44,'미니게임_DATA(순)'!$A$4:$A$60,0),0)),0)</f>
        <v>0</v>
      </c>
      <c r="L44" s="45"/>
      <c r="M44" s="45"/>
      <c r="N44" s="45"/>
    </row>
    <row r="45" spans="1:14" hidden="1">
      <c r="A45" s="55" t="s">
        <v>74</v>
      </c>
      <c r="B45" s="55" t="s">
        <v>192</v>
      </c>
      <c r="C45" s="55" t="s">
        <v>157</v>
      </c>
      <c r="D45" s="99">
        <f>MAX(INDEX('미니게임_DATA(순)'!$E$4:$R$44,MATCH(A45,'미니게임_DATA(순)'!$A$4:$A$44,0),0))</f>
        <v>0</v>
      </c>
      <c r="E45" s="99">
        <f>IFERROR(AVERAGE(INDEX('미니게임_DATA(순)'!$E$4:$R$44,MATCH($A45,'미니게임_DATA(순)'!$A$4:$A$44,0),0)),0)</f>
        <v>0</v>
      </c>
      <c r="F45" s="99">
        <f>MAX(INDEX('미니게임_DATA(순)'!$S$4:$BB$60,MATCH($A45,'미니게임_DATA(순)'!$A$4:$A$60,0),0))</f>
        <v>121</v>
      </c>
      <c r="G45" s="367">
        <f>IFERROR(AVERAGE(INDEX('미니게임_DATA(순)'!$S$4:$BB$60,MATCH($A45,'미니게임_DATA(순)'!$A$4:$A$60,0),0)),0)</f>
        <v>105.66666666666667</v>
      </c>
      <c r="H45" s="99">
        <f>MAX(INDEX('미니게임_DATA(순)'!$BD$4:$CY$60,MATCH($A45,'미니게임_DATA(순)'!$A$4:$A$60,0),0))</f>
        <v>0</v>
      </c>
      <c r="I45" s="367">
        <f>IFERROR(AVERAGE(INDEX('미니게임_DATA(순)'!$BD$4:$CY$60,MATCH($A45,'미니게임_DATA(순)'!$A$4:$A$60,0),0)),0)</f>
        <v>0</v>
      </c>
      <c r="J45" s="99">
        <f>MAX(INDEX('미니게임_DATA(순)'!$DB$4:$EU$60,MATCH($A45,'미니게임_DATA(순)'!$A$4:$A$60,0),0))</f>
        <v>0</v>
      </c>
      <c r="K45" s="367">
        <f>IFERROR(AVERAGE(INDEX('미니게임_DATA(순)'!$DB$4:$EU$60,MATCH($A45,'미니게임_DATA(순)'!$A$4:$A$60,0),0)),0)</f>
        <v>0</v>
      </c>
      <c r="L45" s="45"/>
      <c r="M45" s="45"/>
      <c r="N45" s="45"/>
    </row>
    <row r="46" spans="1:14" hidden="1">
      <c r="A46" s="56" t="s">
        <v>370</v>
      </c>
      <c r="B46" s="56" t="s">
        <v>469</v>
      </c>
      <c r="C46" s="56" t="s">
        <v>157</v>
      </c>
      <c r="D46" s="99">
        <f>MAX(INDEX('미니게임_DATA(순)'!$E$4:$R$60,MATCH(A46,'미니게임_DATA(순)'!$A$4:$A$60,0),0))</f>
        <v>0</v>
      </c>
      <c r="E46" s="367">
        <f>IFERROR(AVERAGE(INDEX('미니게임_DATA(순)'!$E$4:$R$60,MATCH($A46,'미니게임_DATA(순)'!$A$4:$A$60,0),0)),0)</f>
        <v>0</v>
      </c>
      <c r="F46" s="99">
        <f>MAX(INDEX('미니게임_DATA(순)'!$S$4:$BB$65,MATCH($A46,'미니게임_DATA(순)'!$A$4:$A$65,0),0))</f>
        <v>0</v>
      </c>
      <c r="G46" s="367">
        <f>IFERROR(AVERAGE(INDEX('미니게임_DATA(순)'!$S$4:$BB$65,MATCH($A46,'미니게임_DATA(순)'!$A$4:$A$65,0),0)),0)</f>
        <v>0</v>
      </c>
      <c r="H46" s="99">
        <f>MAX(INDEX('미니게임_DATA(순)'!$BD$4:$CY$65,MATCH($A46,'미니게임_DATA(순)'!$A$4:$A$65,0),0))</f>
        <v>0</v>
      </c>
      <c r="I46" s="367">
        <f>IFERROR(AVERAGE(INDEX('미니게임_DATA(순)'!$BD$4:$CY$65,MATCH($A46,'미니게임_DATA(순)'!$A$4:$A$65,0),0)),0)</f>
        <v>0</v>
      </c>
      <c r="J46" s="99">
        <f>MAX(INDEX('미니게임_DATA(순)'!$DB$4:$EU$65,MATCH($A46,'미니게임_DATA(순)'!$A$4:$A$65,0),0))</f>
        <v>88</v>
      </c>
      <c r="K46" s="367">
        <f>IFERROR(AVERAGE(INDEX('미니게임_DATA(순)'!$DB$4:$EU$65,MATCH($A46,'미니게임_DATA(순)'!$A$4:$A$65,0),0)),0)</f>
        <v>63</v>
      </c>
      <c r="L46" s="45"/>
      <c r="M46" s="367">
        <f>IF(AND(K46&gt;0, I46&gt;0),K46-I46,0)</f>
        <v>0</v>
      </c>
      <c r="N46" s="367">
        <f>IFERROR(AVERAGE(INDEX('미니게임_DATA(순)'!$E$4:$EU$44,MATCH(A46,'미니게임_DATA(순)'!$A$4:$A$44,0),0)),0)</f>
        <v>63</v>
      </c>
    </row>
    <row r="47" spans="1:14">
      <c r="A47" s="48" t="s">
        <v>474</v>
      </c>
      <c r="B47" s="48" t="s">
        <v>194</v>
      </c>
      <c r="C47" s="48" t="s">
        <v>156</v>
      </c>
      <c r="D47" s="99">
        <f>MAX(INDEX('미니게임_DATA(순)'!$E$4:$R$60,MATCH(A47,'미니게임_DATA(순)'!$A$4:$A$60,0),0))</f>
        <v>0</v>
      </c>
      <c r="E47" s="367">
        <f>IFERROR(AVERAGE(INDEX('미니게임_DATA(순)'!$E$4:$R$60,MATCH($A47,'미니게임_DATA(순)'!$A$4:$A$60,0),0)),0)</f>
        <v>0</v>
      </c>
      <c r="F47" s="99">
        <f>MAX(INDEX('미니게임_DATA(순)'!$S$4:$BB$65,MATCH($A47,'미니게임_DATA(순)'!$A$4:$A$65,0),0))</f>
        <v>0</v>
      </c>
      <c r="G47" s="367">
        <f>IFERROR(AVERAGE(INDEX('미니게임_DATA(순)'!$S$4:$BB$65,MATCH($A47,'미니게임_DATA(순)'!$A$4:$A$65,0),0)),0)</f>
        <v>0</v>
      </c>
      <c r="H47" s="99">
        <f>MAX(INDEX('미니게임_DATA(순)'!$BD$4:$CY$65,MATCH($A47,'미니게임_DATA(순)'!$A$4:$A$65,0),0))</f>
        <v>0</v>
      </c>
      <c r="I47" s="367">
        <f>IFERROR(AVERAGE(INDEX('미니게임_DATA(순)'!$BD$4:$CY$65,MATCH($A47,'미니게임_DATA(순)'!$A$4:$A$65,0),0)),0)</f>
        <v>0</v>
      </c>
      <c r="J47" s="99">
        <f>MAX(INDEX('미니게임_DATA(순)'!$DB$4:$EU$65,MATCH($A47,'미니게임_DATA(순)'!$A$4:$A$65,0),0))</f>
        <v>157</v>
      </c>
      <c r="K47" s="367">
        <f>IFERROR(AVERAGE(INDEX('미니게임_DATA(순)'!$DB$4:$EU$65,MATCH($A47,'미니게임_DATA(순)'!$A$4:$A$65,0),0)),0)</f>
        <v>111.05555555555556</v>
      </c>
      <c r="L47" s="45"/>
      <c r="M47" s="367">
        <f>IF(AND(K47&gt;0, I47&gt;0),K47-I47,0)</f>
        <v>0</v>
      </c>
      <c r="N47" s="367">
        <f>IFERROR(AVERAGE(INDEX('미니게임_DATA(순)'!$E$4:$EU$44,MATCH(A47,'미니게임_DATA(순)'!$A$4:$A$44,0),0)),0)</f>
        <v>111.05555555555556</v>
      </c>
    </row>
    <row r="48" spans="1:14" hidden="1">
      <c r="A48" s="56" t="s">
        <v>52</v>
      </c>
      <c r="B48" s="56" t="s">
        <v>193</v>
      </c>
      <c r="C48" s="56" t="s">
        <v>157</v>
      </c>
      <c r="D48" s="99">
        <f>MAX(INDEX('미니게임_DATA(순)'!$E$4:$R$60,MATCH(A48,'미니게임_DATA(순)'!$A$4:$A$60,0),0))</f>
        <v>0</v>
      </c>
      <c r="E48" s="367">
        <f>IFERROR(AVERAGE(INDEX('미니게임_DATA(순)'!$E$4:$R$60,MATCH($A48,'미니게임_DATA(순)'!$A$4:$A$60,0),0)),0)</f>
        <v>0</v>
      </c>
      <c r="F48" s="99">
        <f>MAX(INDEX('미니게임_DATA(순)'!$S$4:$BB$60,MATCH($A48,'미니게임_DATA(순)'!$A$4:$A$60,0),0))</f>
        <v>94</v>
      </c>
      <c r="G48" s="367">
        <f>IFERROR(AVERAGE(INDEX('미니게임_DATA(순)'!$S$4:$BB$60,MATCH($A48,'미니게임_DATA(순)'!$A$4:$A$60,0),0)),0)</f>
        <v>72.888888888888886</v>
      </c>
      <c r="H48" s="99">
        <f>MAX(INDEX('미니게임_DATA(순)'!$BD$4:$CY$60,MATCH($A48,'미니게임_DATA(순)'!$A$4:$A$60,0),0))</f>
        <v>0</v>
      </c>
      <c r="I48" s="367">
        <f>IFERROR(AVERAGE(INDEX('미니게임_DATA(순)'!$BD$4:$CY$60,MATCH($A48,'미니게임_DATA(순)'!$A$4:$A$60,0),0)),0)</f>
        <v>0</v>
      </c>
      <c r="J48" s="99">
        <f>MAX(INDEX('미니게임_DATA(순)'!$DB$4:$EU$60,MATCH($A48,'미니게임_DATA(순)'!$A$4:$A$60,0),0))</f>
        <v>0</v>
      </c>
      <c r="K48" s="367">
        <f>IFERROR(AVERAGE(INDEX('미니게임_DATA(순)'!$DB$4:$EU$60,MATCH($A48,'미니게임_DATA(순)'!$A$4:$A$60,0),0)),0)</f>
        <v>0</v>
      </c>
      <c r="L48" s="45"/>
      <c r="M48" s="45"/>
      <c r="N48" s="45"/>
    </row>
    <row r="49" spans="1:14">
      <c r="A49" s="48" t="s">
        <v>372</v>
      </c>
      <c r="B49" s="48" t="s">
        <v>194</v>
      </c>
      <c r="C49" s="48" t="s">
        <v>156</v>
      </c>
      <c r="D49" s="99">
        <f>MAX(INDEX('미니게임_DATA(순)'!$E$4:$R$60,MATCH(A49,'미니게임_DATA(순)'!$A$4:$A$60,0),0))</f>
        <v>0</v>
      </c>
      <c r="E49" s="367">
        <f>IFERROR(AVERAGE(INDEX('미니게임_DATA(순)'!$E$4:$R$60,MATCH($A49,'미니게임_DATA(순)'!$A$4:$A$60,0),0)),0)</f>
        <v>0</v>
      </c>
      <c r="F49" s="99">
        <f>MAX(INDEX('미니게임_DATA(순)'!$S$4:$BB$65,MATCH($A49,'미니게임_DATA(순)'!$A$4:$A$65,0),0))</f>
        <v>0</v>
      </c>
      <c r="G49" s="367">
        <f>IFERROR(AVERAGE(INDEX('미니게임_DATA(순)'!$S$4:$BB$65,MATCH($A49,'미니게임_DATA(순)'!$A$4:$A$65,0),0)),0)</f>
        <v>0</v>
      </c>
      <c r="H49" s="99">
        <f>MAX(INDEX('미니게임_DATA(순)'!$BD$4:$CY$65,MATCH($A49,'미니게임_DATA(순)'!$A$4:$A$65,0),0))</f>
        <v>0</v>
      </c>
      <c r="I49" s="367">
        <f>IFERROR(AVERAGE(INDEX('미니게임_DATA(순)'!$BD$4:$CY$65,MATCH($A49,'미니게임_DATA(순)'!$A$4:$A$65,0),0)),0)</f>
        <v>0</v>
      </c>
      <c r="J49" s="99">
        <f>MAX(INDEX('미니게임_DATA(순)'!$DB$4:$EU$65,MATCH($A49,'미니게임_DATA(순)'!$A$4:$A$65,0),0))</f>
        <v>136</v>
      </c>
      <c r="K49" s="367">
        <f>IFERROR(AVERAGE(INDEX('미니게임_DATA(순)'!$DB$4:$EU$65,MATCH($A49,'미니게임_DATA(순)'!$A$4:$A$65,0),0)),0)</f>
        <v>96.571428571428569</v>
      </c>
      <c r="L49" s="45"/>
      <c r="M49" s="367">
        <f>IF(AND(K49&gt;0, I49&gt;0),K49-I49,0)</f>
        <v>0</v>
      </c>
      <c r="N49" s="367">
        <f>IFERROR(AVERAGE(INDEX('미니게임_DATA(순)'!$E$4:$EU$44,MATCH(A49,'미니게임_DATA(순)'!$A$4:$A$44,0),0)),0)</f>
        <v>96.571428571428569</v>
      </c>
    </row>
    <row r="50" spans="1:14">
      <c r="A50" s="55" t="s">
        <v>72</v>
      </c>
      <c r="B50" s="55" t="s">
        <v>191</v>
      </c>
      <c r="C50" s="55" t="s">
        <v>156</v>
      </c>
      <c r="D50" s="99">
        <f>MAX(INDEX('미니게임_DATA(순)'!$E$4:$R$60,MATCH(A50,'미니게임_DATA(순)'!$A$4:$A$60,0),0))</f>
        <v>0</v>
      </c>
      <c r="E50" s="367">
        <f>IFERROR(AVERAGE(INDEX('미니게임_DATA(순)'!$E$4:$R$60,MATCH($A50,'미니게임_DATA(순)'!$A$4:$A$60,0),0)),0)</f>
        <v>0</v>
      </c>
      <c r="F50" s="99">
        <f>MAX(INDEX('미니게임_DATA(순)'!$S$4:$BB$65,MATCH($A50,'미니게임_DATA(순)'!$A$4:$A$65,0),0))</f>
        <v>180</v>
      </c>
      <c r="G50" s="367">
        <f>IFERROR(AVERAGE(INDEX('미니게임_DATA(순)'!$S$4:$BB$65,MATCH($A50,'미니게임_DATA(순)'!$A$4:$A$65,0),0)),0)</f>
        <v>157.125</v>
      </c>
      <c r="H50" s="99">
        <f>MAX(INDEX('미니게임_DATA(순)'!$BD$4:$CY$65,MATCH($A50,'미니게임_DATA(순)'!$A$4:$A$65,0),0))</f>
        <v>175</v>
      </c>
      <c r="I50" s="367">
        <f>IFERROR(AVERAGE(INDEX('미니게임_DATA(순)'!$BD$4:$CY$65,MATCH($A50,'미니게임_DATA(순)'!$A$4:$A$65,0),0)),0)</f>
        <v>144.5</v>
      </c>
      <c r="J50" s="99">
        <f>MAX(INDEX('미니게임_DATA(순)'!$DB$4:$EU$65,MATCH($A50,'미니게임_DATA(순)'!$A$4:$A$65,0),0))</f>
        <v>0</v>
      </c>
      <c r="K50" s="367">
        <f>IFERROR(AVERAGE(INDEX('미니게임_DATA(순)'!$DB$4:$EU$65,MATCH($A50,'미니게임_DATA(순)'!$A$4:$A$65,0),0)),0)</f>
        <v>0</v>
      </c>
      <c r="L50" s="45"/>
      <c r="M50" s="367">
        <f>IF(AND(K50&gt;0, I50&gt;0),K50-I50,0)</f>
        <v>0</v>
      </c>
      <c r="N50" s="367">
        <f>IFERROR(AVERAGE(INDEX('미니게임_DATA(순)'!$E$4:$EU$44,MATCH(A50,'미니게임_DATA(순)'!$A$4:$A$44,0),0)),0)</f>
        <v>151.71428571428572</v>
      </c>
    </row>
    <row r="51" spans="1:14" hidden="1">
      <c r="A51" s="55" t="s">
        <v>63</v>
      </c>
      <c r="B51" s="55" t="s">
        <v>192</v>
      </c>
      <c r="C51" s="55" t="s">
        <v>356</v>
      </c>
      <c r="D51" s="99">
        <f>MAX(INDEX('미니게임_DATA(순)'!$E$4:$R$60,MATCH(A51,'미니게임_DATA(순)'!$A$4:$A$60,0),0))</f>
        <v>0</v>
      </c>
      <c r="E51" s="367">
        <f>IFERROR(AVERAGE(INDEX('미니게임_DATA(순)'!$E$4:$R$60,MATCH($A51,'미니게임_DATA(순)'!$A$4:$A$60,0),0)),0)</f>
        <v>0</v>
      </c>
      <c r="F51" s="99">
        <f>MAX(INDEX('미니게임_DATA(순)'!$S$4:$BB$60,MATCH($A51,'미니게임_DATA(순)'!$A$4:$A$60,0),0))</f>
        <v>0</v>
      </c>
      <c r="G51" s="367">
        <f>IFERROR(AVERAGE(INDEX('미니게임_DATA(순)'!$S$4:$BB$60,MATCH($A51,'미니게임_DATA(순)'!$A$4:$A$60,0),0)),0)</f>
        <v>0</v>
      </c>
      <c r="H51" s="99">
        <f>MAX(INDEX('미니게임_DATA(순)'!$BD$4:$CY$60,MATCH($A51,'미니게임_DATA(순)'!$A$4:$A$60,0),0))</f>
        <v>0</v>
      </c>
      <c r="I51" s="367">
        <f>IFERROR(AVERAGE(INDEX('미니게임_DATA(순)'!$BD$4:$CY$60,MATCH($A51,'미니게임_DATA(순)'!$A$4:$A$60,0),0)),0)</f>
        <v>0</v>
      </c>
      <c r="J51" s="99">
        <f>MAX(INDEX('미니게임_DATA(순)'!$DB$4:$EU$60,MATCH($A51,'미니게임_DATA(순)'!$A$4:$A$60,0),0))</f>
        <v>0</v>
      </c>
      <c r="K51" s="367">
        <f>IFERROR(AVERAGE(INDEX('미니게임_DATA(순)'!$DB$4:$EU$60,MATCH($A51,'미니게임_DATA(순)'!$A$4:$A$60,0),0)),0)</f>
        <v>0</v>
      </c>
      <c r="L51" s="45"/>
      <c r="M51" s="45"/>
      <c r="N51" s="45"/>
    </row>
    <row r="52" spans="1:14" hidden="1">
      <c r="A52" s="48" t="s">
        <v>312</v>
      </c>
      <c r="B52" s="48" t="s">
        <v>193</v>
      </c>
      <c r="C52" s="48" t="s">
        <v>156</v>
      </c>
      <c r="D52" s="99">
        <f>MAX(INDEX('미니게임_DATA(순)'!$E$4:$R$60,MATCH(A52,'미니게임_DATA(순)'!$A$4:$A$60,0),0))</f>
        <v>0</v>
      </c>
      <c r="E52" s="367">
        <f>IFERROR(AVERAGE(INDEX('미니게임_DATA(순)'!$E$4:$R$60,MATCH($A52,'미니게임_DATA(순)'!$A$4:$A$60,0),0)),0)</f>
        <v>0</v>
      </c>
      <c r="F52" s="99">
        <f>MAX(INDEX('미니게임_DATA(순)'!$S$4:$BB$60,MATCH($A52,'미니게임_DATA(순)'!$A$4:$A$60,0),0))</f>
        <v>0</v>
      </c>
      <c r="G52" s="367">
        <f>IFERROR(AVERAGE(INDEX('미니게임_DATA(순)'!$S$4:$BB$60,MATCH($A52,'미니게임_DATA(순)'!$A$4:$A$60,0),0)),0)</f>
        <v>0</v>
      </c>
      <c r="H52" s="99">
        <f>MAX(INDEX('미니게임_DATA(순)'!$BD$4:$CY$60,MATCH($A52,'미니게임_DATA(순)'!$A$4:$A$60,0),0))</f>
        <v>0</v>
      </c>
      <c r="I52" s="367">
        <f>IFERROR(AVERAGE(INDEX('미니게임_DATA(순)'!$BD$4:$CY$60,MATCH($A52,'미니게임_DATA(순)'!$A$4:$A$60,0),0)),0)</f>
        <v>0</v>
      </c>
      <c r="J52" s="99">
        <f>MAX(INDEX('미니게임_DATA(순)'!$DB$4:$EU$60,MATCH($A52,'미니게임_DATA(순)'!$A$4:$A$60,0),0))</f>
        <v>0</v>
      </c>
      <c r="K52" s="367">
        <f>IFERROR(AVERAGE(INDEX('미니게임_DATA(순)'!$DB$4:$EU$60,MATCH($A52,'미니게임_DATA(순)'!$A$4:$A$60,0),0)),0)</f>
        <v>0</v>
      </c>
      <c r="L52" s="45"/>
      <c r="M52" s="45"/>
      <c r="N52" s="45"/>
    </row>
    <row r="53" spans="1:14">
      <c r="A53" s="56" t="s">
        <v>51</v>
      </c>
      <c r="B53" s="56" t="s">
        <v>191</v>
      </c>
      <c r="C53" s="56" t="s">
        <v>157</v>
      </c>
      <c r="D53" s="99">
        <f>MAX(INDEX('미니게임_DATA(순)'!$E$4:$R$60,MATCH(A53,'미니게임_DATA(순)'!$A$4:$A$60,0),0))</f>
        <v>0</v>
      </c>
      <c r="E53" s="367">
        <f>IFERROR(AVERAGE(INDEX('미니게임_DATA(순)'!$E$4:$R$60,MATCH($A53,'미니게임_DATA(순)'!$A$4:$A$60,0),0)),0)</f>
        <v>0</v>
      </c>
      <c r="F53" s="99">
        <f>MAX(INDEX('미니게임_DATA(순)'!$S$4:$BB$65,MATCH($A53,'미니게임_DATA(순)'!$A$4:$A$65,0),0))</f>
        <v>115</v>
      </c>
      <c r="G53" s="367">
        <f>IFERROR(AVERAGE(INDEX('미니게임_DATA(순)'!$S$4:$BB$65,MATCH($A53,'미니게임_DATA(순)'!$A$4:$A$65,0),0)),0)</f>
        <v>102.33333333333333</v>
      </c>
      <c r="H53" s="99">
        <f>MAX(INDEX('미니게임_DATA(순)'!$BD$4:$CY$65,MATCH($A53,'미니게임_DATA(순)'!$A$4:$A$65,0),0))</f>
        <v>0</v>
      </c>
      <c r="I53" s="367">
        <f>IFERROR(AVERAGE(INDEX('미니게임_DATA(순)'!$BD$4:$CY$65,MATCH($A53,'미니게임_DATA(순)'!$A$4:$A$65,0),0)),0)</f>
        <v>0</v>
      </c>
      <c r="J53" s="99">
        <f>MAX(INDEX('미니게임_DATA(순)'!$DB$4:$EU$65,MATCH($A53,'미니게임_DATA(순)'!$A$4:$A$65,0),0))</f>
        <v>0</v>
      </c>
      <c r="K53" s="367">
        <f>IFERROR(AVERAGE(INDEX('미니게임_DATA(순)'!$DB$4:$EU$65,MATCH($A53,'미니게임_DATA(순)'!$A$4:$A$65,0),0)),0)</f>
        <v>0</v>
      </c>
      <c r="L53" s="45"/>
      <c r="M53" s="367">
        <f>IF(AND(K53&gt;0, I53&gt;0),K53-I53,0)</f>
        <v>0</v>
      </c>
      <c r="N53" s="367">
        <f>IFERROR(AVERAGE(INDEX('미니게임_DATA(순)'!$E$4:$EU$44,MATCH(A53,'미니게임_DATA(순)'!$A$4:$A$44,0),0)),0)</f>
        <v>0</v>
      </c>
    </row>
    <row r="54" spans="1:14">
      <c r="A54" s="55" t="s">
        <v>58</v>
      </c>
      <c r="B54" s="55" t="s">
        <v>191</v>
      </c>
      <c r="C54" s="55" t="s">
        <v>156</v>
      </c>
      <c r="D54" s="99">
        <f>MAX(INDEX('미니게임_DATA(순)'!$E$4:$R$60,MATCH(A54,'미니게임_DATA(순)'!$A$4:$A$60,0),0))</f>
        <v>186</v>
      </c>
      <c r="E54" s="367">
        <f>IFERROR(AVERAGE(INDEX('미니게임_DATA(순)'!$E$4:$R$60,MATCH($A54,'미니게임_DATA(순)'!$A$4:$A$60,0),0)),0)</f>
        <v>161.6</v>
      </c>
      <c r="F54" s="99">
        <f>MAX(INDEX('미니게임_DATA(순)'!$S$4:$BB$65,MATCH($A54,'미니게임_DATA(순)'!$A$4:$A$65,0),0))</f>
        <v>224</v>
      </c>
      <c r="G54" s="367">
        <f>IFERROR(AVERAGE(INDEX('미니게임_DATA(순)'!$S$4:$BB$65,MATCH($A54,'미니게임_DATA(순)'!$A$4:$A$65,0),0)),0)</f>
        <v>159.7741935483871</v>
      </c>
      <c r="H54" s="99">
        <f>MAX(INDEX('미니게임_DATA(순)'!$BD$4:$CY$65,MATCH($A54,'미니게임_DATA(순)'!$A$4:$A$65,0),0))</f>
        <v>189</v>
      </c>
      <c r="I54" s="367">
        <f>IFERROR(AVERAGE(INDEX('미니게임_DATA(순)'!$BD$4:$CY$65,MATCH($A54,'미니게임_DATA(순)'!$A$4:$A$65,0),0)),0)</f>
        <v>166.66666666666666</v>
      </c>
      <c r="J54" s="99">
        <f>MAX(INDEX('미니게임_DATA(순)'!$DB$4:$EU$65,MATCH($A54,'미니게임_DATA(순)'!$A$4:$A$65,0),0))</f>
        <v>0</v>
      </c>
      <c r="K54" s="367">
        <f>IFERROR(AVERAGE(INDEX('미니게임_DATA(순)'!$DB$4:$EU$65,MATCH($A54,'미니게임_DATA(순)'!$A$4:$A$65,0),0)),0)</f>
        <v>0</v>
      </c>
      <c r="L54" s="45"/>
      <c r="M54" s="367">
        <f>IF(AND(K54&gt;0, I54&gt;0),K54-I54,0)</f>
        <v>0</v>
      </c>
      <c r="N54" s="367">
        <f>IFERROR(AVERAGE(INDEX('미니게임_DATA(순)'!$E$4:$EU$44,MATCH(A54,'미니게임_DATA(순)'!$A$4:$A$44,0),0)),0)</f>
        <v>161.67924528301887</v>
      </c>
    </row>
    <row r="55" spans="1:14" hidden="1">
      <c r="A55" s="55" t="s">
        <v>78</v>
      </c>
      <c r="B55" s="55" t="s">
        <v>193</v>
      </c>
      <c r="C55" s="55" t="s">
        <v>156</v>
      </c>
      <c r="D55" s="99" t="e">
        <f>MAX(INDEX('미니게임_DATA(순)'!$E$4:$R$44,MATCH(A55,'미니게임_DATA(순)'!$A$4:$A$44,0),0))</f>
        <v>#N/A</v>
      </c>
      <c r="E55" s="99">
        <f>IFERROR(AVERAGE(INDEX('미니게임_DATA(순)'!$E$4:$R$44,MATCH($A55,'미니게임_DATA(순)'!$A$4:$A$44,0),0)),0)</f>
        <v>0</v>
      </c>
      <c r="F55" s="99">
        <f>MAX(INDEX('미니게임_DATA(순)'!$S$4:$BB$65,MATCH($A55,'미니게임_DATA(순)'!$A$4:$A$65,0),0))</f>
        <v>147</v>
      </c>
      <c r="G55" s="367">
        <f>IFERROR(AVERAGE(INDEX('미니게임_DATA(순)'!$S$4:$BB$65,MATCH($A55,'미니게임_DATA(순)'!$A$4:$A$65,0),0)),0)</f>
        <v>115.2</v>
      </c>
      <c r="H55" s="99">
        <f>MAX(INDEX('미니게임_DATA(순)'!$BD$4:$CY$65,MATCH($A55,'미니게임_DATA(순)'!$A$4:$A$65,0),0))</f>
        <v>194</v>
      </c>
      <c r="I55" s="367">
        <f>IFERROR(AVERAGE(INDEX('미니게임_DATA(순)'!$BD$4:$CY$65,MATCH($A55,'미니게임_DATA(순)'!$A$4:$A$65,0),0)),0)</f>
        <v>138.8095238095238</v>
      </c>
      <c r="J55" s="99">
        <f>MAX(INDEX('미니게임_DATA(순)'!$DB$4:$EU$65,MATCH($A55,'미니게임_DATA(순)'!$A$4:$A$65,0),0))</f>
        <v>0</v>
      </c>
      <c r="K55" s="367">
        <f>IFERROR(AVERAGE(INDEX('미니게임_DATA(순)'!$DB$4:$EU$65,MATCH($A55,'미니게임_DATA(순)'!$A$4:$A$65,0),0)),0)</f>
        <v>0</v>
      </c>
      <c r="L55" s="45"/>
      <c r="M55" s="45"/>
      <c r="N55" s="45"/>
    </row>
    <row r="56" spans="1:14">
      <c r="A56" s="59" t="s">
        <v>56</v>
      </c>
      <c r="B56" s="59" t="s">
        <v>191</v>
      </c>
      <c r="C56" s="59" t="s">
        <v>157</v>
      </c>
      <c r="D56" s="99">
        <f>MAX(INDEX('미니게임_DATA(순)'!$E$4:$R$60,MATCH(A56,'미니게임_DATA(순)'!$A$4:$A$60,0),0))</f>
        <v>0</v>
      </c>
      <c r="E56" s="367">
        <f>IFERROR(AVERAGE(INDEX('미니게임_DATA(순)'!$E$4:$R$60,MATCH($A56,'미니게임_DATA(순)'!$A$4:$A$60,0),0)),0)</f>
        <v>0</v>
      </c>
      <c r="F56" s="99">
        <f>MAX(INDEX('미니게임_DATA(순)'!$S$4:$BB$65,MATCH($A56,'미니게임_DATA(순)'!$A$4:$A$65,0),0))</f>
        <v>194</v>
      </c>
      <c r="G56" s="367">
        <f>IFERROR(AVERAGE(INDEX('미니게임_DATA(순)'!$S$4:$BB$65,MATCH($A56,'미니게임_DATA(순)'!$A$4:$A$65,0),0)),0)</f>
        <v>162.35294117647058</v>
      </c>
      <c r="H56" s="99">
        <f>MAX(INDEX('미니게임_DATA(순)'!$BD$4:$CY$65,MATCH($A56,'미니게임_DATA(순)'!$A$4:$A$65,0),0))</f>
        <v>173</v>
      </c>
      <c r="I56" s="367">
        <f>IFERROR(AVERAGE(INDEX('미니게임_DATA(순)'!$BD$4:$CY$65,MATCH($A56,'미니게임_DATA(순)'!$A$4:$A$65,0),0)),0)</f>
        <v>140.33333333333334</v>
      </c>
      <c r="J56" s="99">
        <f>MAX(INDEX('미니게임_DATA(순)'!$DB$4:$EU$65,MATCH($A56,'미니게임_DATA(순)'!$A$4:$A$65,0),0))</f>
        <v>0</v>
      </c>
      <c r="K56" s="367">
        <f>IFERROR(AVERAGE(INDEX('미니게임_DATA(순)'!$DB$4:$EU$65,MATCH($A56,'미니게임_DATA(순)'!$A$4:$A$65,0),0)),0)</f>
        <v>0</v>
      </c>
      <c r="L56" s="45"/>
      <c r="M56" s="367">
        <f>IF(AND(K56&gt;0, I56&gt;0),K56-I56,0)</f>
        <v>0</v>
      </c>
      <c r="N56" s="367">
        <f>IFERROR(AVERAGE(INDEX('미니게임_DATA(순)'!$E$4:$EU$44,MATCH(A56,'미니게임_DATA(순)'!$A$4:$A$44,0),0)),0)</f>
        <v>159.05000000000001</v>
      </c>
    </row>
    <row r="57" spans="1:14">
      <c r="A57" s="445" t="s">
        <v>77</v>
      </c>
      <c r="B57" s="59" t="s">
        <v>191</v>
      </c>
      <c r="C57" s="59" t="s">
        <v>157</v>
      </c>
      <c r="D57" s="99">
        <f>MAX(INDEX('미니게임_DATA(순)'!$E$4:$R$60,MATCH(A57,'미니게임_DATA(순)'!$A$4:$A$60,0),0))</f>
        <v>138</v>
      </c>
      <c r="E57" s="367">
        <f>IFERROR(AVERAGE(INDEX('미니게임_DATA(순)'!$E$4:$R$60,MATCH($A57,'미니게임_DATA(순)'!$A$4:$A$60,0),0)),0)</f>
        <v>129</v>
      </c>
      <c r="F57" s="99">
        <f>MAX(INDEX('미니게임_DATA(순)'!$S$4:$BB$65,MATCH($A57,'미니게임_DATA(순)'!$A$4:$A$65,0),0))</f>
        <v>180</v>
      </c>
      <c r="G57" s="367">
        <f>IFERROR(AVERAGE(INDEX('미니게임_DATA(순)'!$S$4:$BB$65,MATCH($A57,'미니게임_DATA(순)'!$A$4:$A$65,0),0)),0)</f>
        <v>138.05882352941177</v>
      </c>
      <c r="H57" s="99">
        <f>MAX(INDEX('미니게임_DATA(순)'!$BD$4:$CY$65,MATCH($A57,'미니게임_DATA(순)'!$A$4:$A$65,0),0))</f>
        <v>181</v>
      </c>
      <c r="I57" s="367">
        <f>IFERROR(AVERAGE(INDEX('미니게임_DATA(순)'!$BD$4:$CY$65,MATCH($A57,'미니게임_DATA(순)'!$A$4:$A$65,0),0)),0)</f>
        <v>136.25</v>
      </c>
      <c r="J57" s="99">
        <f>MAX(INDEX('미니게임_DATA(순)'!$DB$4:$EU$65,MATCH($A57,'미니게임_DATA(순)'!$A$4:$A$65,0),0))</f>
        <v>0</v>
      </c>
      <c r="K57" s="367">
        <f>IFERROR(AVERAGE(INDEX('미니게임_DATA(순)'!$DB$4:$EU$65,MATCH($A57,'미니게임_DATA(순)'!$A$4:$A$65,0),0)),0)</f>
        <v>0</v>
      </c>
      <c r="L57" s="45"/>
      <c r="M57" s="367">
        <f>IF(AND(K57&gt;0, I57&gt;0),K57-I57,0)</f>
        <v>0</v>
      </c>
      <c r="N57" s="367">
        <f>IFERROR(AVERAGE(INDEX('미니게임_DATA(순)'!$E$4:$EU$44,MATCH(A57,'미니게임_DATA(순)'!$A$4:$A$44,0),0)),0)</f>
        <v>0</v>
      </c>
    </row>
    <row r="58" spans="1:14">
      <c r="A58" s="252" t="s">
        <v>57</v>
      </c>
      <c r="B58" s="252" t="s">
        <v>191</v>
      </c>
      <c r="C58" s="252" t="s">
        <v>157</v>
      </c>
      <c r="D58" s="99">
        <f>MAX(INDEX('미니게임_DATA(순)'!$E$4:$R$60,MATCH(A58,'미니게임_DATA(순)'!$A$4:$A$60,0),0))</f>
        <v>0</v>
      </c>
      <c r="E58" s="367">
        <f>IFERROR(AVERAGE(INDEX('미니게임_DATA(순)'!$E$4:$R$60,MATCH($A58,'미니게임_DATA(순)'!$A$4:$A$60,0),0)),0)</f>
        <v>0</v>
      </c>
      <c r="F58" s="99">
        <f>MAX(INDEX('미니게임_DATA(순)'!$S$4:$BB$65,MATCH($A58,'미니게임_DATA(순)'!$A$4:$A$65,0),0))</f>
        <v>112</v>
      </c>
      <c r="G58" s="367">
        <f>IFERROR(AVERAGE(INDEX('미니게임_DATA(순)'!$S$4:$BB$65,MATCH($A58,'미니게임_DATA(순)'!$A$4:$A$65,0),0)),0)</f>
        <v>93</v>
      </c>
      <c r="H58" s="99">
        <f>MAX(INDEX('미니게임_DATA(순)'!$BD$4:$CY$65,MATCH($A58,'미니게임_DATA(순)'!$A$4:$A$65,0),0))</f>
        <v>135</v>
      </c>
      <c r="I58" s="367">
        <f>IFERROR(AVERAGE(INDEX('미니게임_DATA(순)'!$BD$4:$CY$65,MATCH($A58,'미니게임_DATA(순)'!$A$4:$A$65,0),0)),0)</f>
        <v>107.73333333333333</v>
      </c>
      <c r="J58" s="99">
        <f>MAX(INDEX('미니게임_DATA(순)'!$DB$4:$EU$65,MATCH($A58,'미니게임_DATA(순)'!$A$4:$A$65,0),0))</f>
        <v>0</v>
      </c>
      <c r="K58" s="367">
        <f>IFERROR(AVERAGE(INDEX('미니게임_DATA(순)'!$DB$4:$EU$65,MATCH($A58,'미니게임_DATA(순)'!$A$4:$A$65,0),0)),0)</f>
        <v>0</v>
      </c>
      <c r="L58" s="45"/>
      <c r="M58" s="367">
        <f>IF(AND(K58&gt;0, I58&gt;0),K58-I58,0)</f>
        <v>0</v>
      </c>
      <c r="N58" s="367">
        <f>IFERROR(AVERAGE(INDEX('미니게임_DATA(순)'!$E$4:$EU$44,MATCH(A58,'미니게임_DATA(순)'!$A$4:$A$44,0),0)),0)</f>
        <v>0</v>
      </c>
    </row>
    <row r="59" spans="1:14">
      <c r="A59" s="55" t="s">
        <v>55</v>
      </c>
      <c r="B59" s="55" t="s">
        <v>191</v>
      </c>
      <c r="C59" s="55" t="s">
        <v>156</v>
      </c>
      <c r="D59" s="99">
        <f>MAX(INDEX('미니게임_DATA(순)'!$E$4:$R$60,MATCH(A59,'미니게임_DATA(순)'!$A$4:$A$60,0),0))</f>
        <v>0</v>
      </c>
      <c r="E59" s="367">
        <f>IFERROR(AVERAGE(INDEX('미니게임_DATA(순)'!$E$4:$R$60,MATCH($A59,'미니게임_DATA(순)'!$A$4:$A$60,0),0)),0)</f>
        <v>0</v>
      </c>
      <c r="F59" s="99">
        <f>MAX(INDEX('미니게임_DATA(순)'!$S$4:$BB$65,MATCH($A59,'미니게임_DATA(순)'!$A$4:$A$65,0),0))</f>
        <v>0</v>
      </c>
      <c r="G59" s="367">
        <f>IFERROR(AVERAGE(INDEX('미니게임_DATA(순)'!$S$4:$BB$65,MATCH($A59,'미니게임_DATA(순)'!$A$4:$A$65,0),0)),0)</f>
        <v>0</v>
      </c>
      <c r="H59" s="99">
        <f>MAX(INDEX('미니게임_DATA(순)'!$BD$4:$CY$65,MATCH($A59,'미니게임_DATA(순)'!$A$4:$A$65,0),0))</f>
        <v>0</v>
      </c>
      <c r="I59" s="367">
        <f>IFERROR(AVERAGE(INDEX('미니게임_DATA(순)'!$BD$4:$CY$65,MATCH($A59,'미니게임_DATA(순)'!$A$4:$A$65,0),0)),0)</f>
        <v>0</v>
      </c>
      <c r="J59" s="99">
        <f>MAX(INDEX('미니게임_DATA(순)'!$DB$4:$EU$65,MATCH($A59,'미니게임_DATA(순)'!$A$4:$A$65,0),0))</f>
        <v>0</v>
      </c>
      <c r="K59" s="367">
        <f>IFERROR(AVERAGE(INDEX('미니게임_DATA(순)'!$DB$4:$EU$65,MATCH($A59,'미니게임_DATA(순)'!$A$4:$A$65,0),0)),0)</f>
        <v>0</v>
      </c>
      <c r="L59" s="45"/>
      <c r="M59" s="367">
        <f>IF(AND(K59&gt;0, I59&gt;0),K59-I59,0)</f>
        <v>0</v>
      </c>
      <c r="N59" s="367">
        <f>IFERROR(AVERAGE(INDEX('미니게임_DATA(순)'!$E$4:$EU$44,MATCH(A59,'미니게임_DATA(순)'!$A$4:$A$44,0),0)),0)</f>
        <v>0</v>
      </c>
    </row>
    <row r="60" spans="1:14">
      <c r="A60" s="48" t="s">
        <v>452</v>
      </c>
      <c r="B60" s="48" t="s">
        <v>194</v>
      </c>
      <c r="C60" s="48" t="s">
        <v>156</v>
      </c>
      <c r="D60" s="99">
        <f>MAX(INDEX('미니게임_DATA(순)'!$E$4:$R$60,MATCH(A60,'미니게임_DATA(순)'!$A$4:$A$60,0),0))</f>
        <v>0</v>
      </c>
      <c r="E60" s="367">
        <f>IFERROR(AVERAGE(INDEX('미니게임_DATA(순)'!$E$4:$R$60,MATCH($A60,'미니게임_DATA(순)'!$A$4:$A$60,0),0)),0)</f>
        <v>0</v>
      </c>
      <c r="F60" s="99">
        <f>MAX(INDEX('미니게임_DATA(순)'!$S$4:$BB$65,MATCH($A60,'미니게임_DATA(순)'!$A$4:$A$65,0),0))</f>
        <v>0</v>
      </c>
      <c r="G60" s="367">
        <f>IFERROR(AVERAGE(INDEX('미니게임_DATA(순)'!$S$4:$BB$65,MATCH($A60,'미니게임_DATA(순)'!$A$4:$A$65,0),0)),0)</f>
        <v>0</v>
      </c>
      <c r="H60" s="99">
        <f>MAX(INDEX('미니게임_DATA(순)'!$BD$4:$CY$65,MATCH($A60,'미니게임_DATA(순)'!$A$4:$A$65,0),0))</f>
        <v>0</v>
      </c>
      <c r="I60" s="367">
        <f>IFERROR(AVERAGE(INDEX('미니게임_DATA(순)'!$BD$4:$CY$65,MATCH($A60,'미니게임_DATA(순)'!$A$4:$A$65,0),0)),0)</f>
        <v>0</v>
      </c>
      <c r="J60" s="99">
        <f>MAX(INDEX('미니게임_DATA(순)'!$DB$4:$EU$65,MATCH($A60,'미니게임_DATA(순)'!$A$4:$A$65,0),0))</f>
        <v>0</v>
      </c>
      <c r="K60" s="367">
        <f>IFERROR(AVERAGE(INDEX('미니게임_DATA(순)'!$DB$4:$EU$65,MATCH($A60,'미니게임_DATA(순)'!$A$4:$A$65,0),0)),0)</f>
        <v>0</v>
      </c>
      <c r="L60" s="45"/>
      <c r="M60" s="367">
        <f>IF(AND(K60&gt;0, I60&gt;0),K60-I60,0)</f>
        <v>0</v>
      </c>
      <c r="N60" s="367">
        <f>IFERROR(AVERAGE(INDEX('미니게임_DATA(순)'!$E$4:$EU$44,MATCH(A60,'미니게임_DATA(순)'!$A$4:$A$44,0),0)),0)</f>
        <v>0</v>
      </c>
    </row>
  </sheetData>
  <autoFilter ref="A12:N60">
    <filterColumn colId="1">
      <filters>
        <filter val="Y"/>
      </filters>
    </filterColumn>
    <sortState ref="A13:N60">
      <sortCondition descending="1" ref="K12:K60"/>
    </sortState>
  </autoFilter>
  <mergeCells count="5">
    <mergeCell ref="I2:J2"/>
    <mergeCell ref="K2:L2"/>
    <mergeCell ref="D2:D3"/>
    <mergeCell ref="E2:F2"/>
    <mergeCell ref="G2:H2"/>
  </mergeCells>
  <phoneticPr fontId="2" type="noConversion"/>
  <conditionalFormatting sqref="D26:K26 D53:E56 D51:K52 D48:K48 D43:K45 D39:K41 D31:K31 D13:J25 D27:J30 D32:J38 D42:J42 D46:J47 D49:J50 F53:J59">
    <cfRule type="cellIs" dxfId="684" priority="16" operator="greaterThan">
      <formula>200</formula>
    </cfRule>
  </conditionalFormatting>
  <conditionalFormatting sqref="F4:F9 H4:H9 J4:J9 L4:M9">
    <cfRule type="cellIs" dxfId="683" priority="13" operator="greaterThan">
      <formula>200</formula>
    </cfRule>
  </conditionalFormatting>
  <conditionalFormatting sqref="M13:M56">
    <cfRule type="cellIs" dxfId="682" priority="11" operator="lessThan">
      <formula>0</formula>
    </cfRule>
    <cfRule type="cellIs" dxfId="681" priority="12" operator="greaterThan">
      <formula>0</formula>
    </cfRule>
  </conditionalFormatting>
  <conditionalFormatting sqref="D57:E57">
    <cfRule type="cellIs" dxfId="680" priority="10" operator="greaterThan">
      <formula>200</formula>
    </cfRule>
  </conditionalFormatting>
  <conditionalFormatting sqref="M57">
    <cfRule type="cellIs" dxfId="679" priority="8" operator="lessThan">
      <formula>0</formula>
    </cfRule>
    <cfRule type="cellIs" dxfId="678" priority="9" operator="greaterThan">
      <formula>0</formula>
    </cfRule>
  </conditionalFormatting>
  <conditionalFormatting sqref="K49:K50 K46:K47 K42 K32:K38 K27:K30 K13:K25 D58:E59 K53:K59 D60">
    <cfRule type="cellIs" dxfId="677" priority="7" operator="greaterThan">
      <formula>200</formula>
    </cfRule>
  </conditionalFormatting>
  <conditionalFormatting sqref="M58:M59">
    <cfRule type="cellIs" dxfId="676" priority="5" operator="lessThan">
      <formula>0</formula>
    </cfRule>
    <cfRule type="cellIs" dxfId="675" priority="6" operator="greaterThan">
      <formula>0</formula>
    </cfRule>
  </conditionalFormatting>
  <conditionalFormatting sqref="F60:J60">
    <cfRule type="cellIs" dxfId="674" priority="4" operator="greaterThan">
      <formula>200</formula>
    </cfRule>
  </conditionalFormatting>
  <conditionalFormatting sqref="E60 K60">
    <cfRule type="cellIs" dxfId="673" priority="3" operator="greaterThan">
      <formula>200</formula>
    </cfRule>
  </conditionalFormatting>
  <conditionalFormatting sqref="M60">
    <cfRule type="cellIs" dxfId="672" priority="1" operator="lessThan">
      <formula>0</formula>
    </cfRule>
    <cfRule type="cellIs" dxfId="671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43"/>
  <sheetViews>
    <sheetView showGridLines="0" tabSelected="1" zoomScale="85" zoomScaleNormal="85" workbookViewId="0">
      <selection activeCell="B2" sqref="B2:U33"/>
    </sheetView>
  </sheetViews>
  <sheetFormatPr defaultColWidth="9" defaultRowHeight="13.5"/>
  <cols>
    <col min="1" max="5" width="9" style="169"/>
    <col min="6" max="8" width="5.375" style="169" customWidth="1"/>
    <col min="9" max="9" width="9" style="169"/>
    <col min="10" max="12" width="5.375" style="169" customWidth="1"/>
    <col min="13" max="13" width="9" style="169"/>
    <col min="14" max="16" width="5.375" style="169" customWidth="1"/>
    <col min="17" max="17" width="7.375" style="170" customWidth="1"/>
    <col min="18" max="18" width="7.375" style="171" customWidth="1"/>
    <col min="19" max="20" width="7.375" style="169" customWidth="1"/>
    <col min="21" max="21" width="9" style="169"/>
    <col min="22" max="23" width="9" style="172" hidden="1" customWidth="1"/>
    <col min="24" max="25" width="9" style="267" hidden="1" customWidth="1"/>
    <col min="26" max="28" width="9" style="169" hidden="1" customWidth="1"/>
    <col min="29" max="29" width="9" style="169" customWidth="1"/>
    <col min="30" max="16384" width="9" style="169"/>
  </cols>
  <sheetData>
    <row r="2" spans="2:35">
      <c r="B2" s="550" t="s">
        <v>154</v>
      </c>
      <c r="C2" s="166" t="s">
        <v>156</v>
      </c>
      <c r="D2" s="167" t="str">
        <f>VLOOKUP(E2,W14:Z31,4,0)</f>
        <v>백동민</v>
      </c>
      <c r="E2" s="198">
        <f t="array" ref="E2">MAX(IF(Y14:Y38="남",W14:W38))</f>
        <v>200</v>
      </c>
      <c r="F2" s="268"/>
    </row>
    <row r="3" spans="2:35">
      <c r="B3" s="551"/>
      <c r="C3" s="166" t="s">
        <v>157</v>
      </c>
      <c r="D3" s="167" t="str">
        <f>VLOOKUP(E3,W15:Z38,4,0)</f>
        <v>오수인</v>
      </c>
      <c r="E3" s="198">
        <f t="array" ref="E3">MAX(IF(Y15:Y39="여",W15:W39))</f>
        <v>213</v>
      </c>
      <c r="F3" s="268"/>
    </row>
    <row r="4" spans="2:35">
      <c r="B4" s="550" t="s">
        <v>158</v>
      </c>
      <c r="C4" s="166" t="s">
        <v>156</v>
      </c>
      <c r="D4" s="167" t="str">
        <f>VLOOKUP(E4,X14:Z38,3,0)</f>
        <v>최은규</v>
      </c>
      <c r="E4" s="168">
        <f t="array" ref="E4">MAX(IF(Y14:Y38="남",X14:X38))</f>
        <v>184</v>
      </c>
      <c r="F4" s="268"/>
    </row>
    <row r="5" spans="2:35">
      <c r="B5" s="551"/>
      <c r="C5" s="166" t="s">
        <v>157</v>
      </c>
      <c r="D5" s="167" t="str">
        <f>VLOOKUP(E5,X15:Z39,3,0)</f>
        <v>오수인</v>
      </c>
      <c r="E5" s="168">
        <f t="array" ref="E5">MAX(IF(Y14:Y38="여",X14:X38))</f>
        <v>184</v>
      </c>
      <c r="F5" s="268"/>
    </row>
    <row r="6" spans="2:35" ht="16.5">
      <c r="B6" s="550" t="s">
        <v>224</v>
      </c>
      <c r="C6" s="235" t="s">
        <v>154</v>
      </c>
      <c r="D6" s="554" t="s">
        <v>536</v>
      </c>
      <c r="E6" s="472"/>
      <c r="F6" s="269"/>
    </row>
    <row r="7" spans="2:35" ht="16.5">
      <c r="B7" s="552"/>
      <c r="C7" s="235" t="s">
        <v>226</v>
      </c>
      <c r="D7" s="554"/>
      <c r="E7" s="472"/>
      <c r="F7" s="269"/>
    </row>
    <row r="8" spans="2:35" ht="16.5">
      <c r="B8" s="552"/>
      <c r="C8" s="235" t="s">
        <v>88</v>
      </c>
      <c r="D8" s="554"/>
      <c r="E8" s="498"/>
      <c r="F8" s="270"/>
    </row>
    <row r="9" spans="2:35" ht="16.5">
      <c r="B9" s="553"/>
      <c r="C9" s="235" t="s">
        <v>227</v>
      </c>
      <c r="D9" s="554"/>
      <c r="E9" s="472"/>
      <c r="F9" s="269"/>
      <c r="G9" s="386"/>
    </row>
    <row r="11" spans="2:35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545"/>
      <c r="M11" s="545"/>
      <c r="N11" s="546"/>
      <c r="O11" s="546"/>
      <c r="P11" s="496"/>
      <c r="Q11" s="547" t="s">
        <v>142</v>
      </c>
      <c r="R11" s="548" t="s">
        <v>184</v>
      </c>
      <c r="S11" s="542" t="s">
        <v>169</v>
      </c>
      <c r="T11" s="542"/>
      <c r="U11" s="542" t="s">
        <v>335</v>
      </c>
    </row>
    <row r="12" spans="2:35">
      <c r="C12" s="543"/>
      <c r="D12" s="543"/>
      <c r="E12" s="543">
        <v>1</v>
      </c>
      <c r="F12" s="543"/>
      <c r="G12" s="543"/>
      <c r="H12" s="543"/>
      <c r="I12" s="543">
        <v>2</v>
      </c>
      <c r="J12" s="543"/>
      <c r="K12" s="543"/>
      <c r="L12" s="543"/>
      <c r="M12" s="543">
        <v>3</v>
      </c>
      <c r="N12" s="543"/>
      <c r="O12" s="543"/>
      <c r="P12" s="543"/>
      <c r="Q12" s="547"/>
      <c r="R12" s="549"/>
      <c r="S12" s="542"/>
      <c r="T12" s="542"/>
      <c r="U12" s="542"/>
      <c r="AB12" s="172"/>
    </row>
    <row r="13" spans="2:35" ht="27">
      <c r="C13" s="543"/>
      <c r="D13" s="543"/>
      <c r="E13" s="465" t="s">
        <v>150</v>
      </c>
      <c r="F13" s="464" t="s">
        <v>302</v>
      </c>
      <c r="G13" s="464" t="s">
        <v>152</v>
      </c>
      <c r="H13" s="464" t="s">
        <v>153</v>
      </c>
      <c r="I13" s="465" t="s">
        <v>150</v>
      </c>
      <c r="J13" s="464" t="s">
        <v>302</v>
      </c>
      <c r="K13" s="464" t="s">
        <v>152</v>
      </c>
      <c r="L13" s="464" t="s">
        <v>153</v>
      </c>
      <c r="M13" s="465" t="s">
        <v>150</v>
      </c>
      <c r="N13" s="464" t="s">
        <v>302</v>
      </c>
      <c r="O13" s="464" t="s">
        <v>152</v>
      </c>
      <c r="P13" s="464" t="s">
        <v>153</v>
      </c>
      <c r="Q13" s="547"/>
      <c r="R13" s="549"/>
      <c r="S13" s="464" t="s">
        <v>144</v>
      </c>
      <c r="T13" s="465" t="s">
        <v>168</v>
      </c>
      <c r="U13" s="543"/>
      <c r="W13" s="172" t="s">
        <v>170</v>
      </c>
      <c r="X13" s="267" t="s">
        <v>171</v>
      </c>
    </row>
    <row r="14" spans="2:35">
      <c r="C14" s="540" t="s">
        <v>494</v>
      </c>
      <c r="D14" s="180" t="s">
        <v>516</v>
      </c>
      <c r="E14" s="275">
        <f>IFERROR(VLOOKUP(D14,'미니게임_DATA(순)'!$A$4:$EV$60,148,0),0)</f>
        <v>181</v>
      </c>
      <c r="F14" s="273"/>
      <c r="G14" s="526">
        <f>RANK(E18,($E$18,$E$23,$E$28,$E$33,E$38,$E$43))</f>
        <v>1</v>
      </c>
      <c r="H14" s="526">
        <f>G14</f>
        <v>1</v>
      </c>
      <c r="I14" s="275">
        <f>IFERROR(VLOOKUP(D14,'미니게임_DATA(순)'!$A$4:$EV$60,149,0),0)</f>
        <v>174</v>
      </c>
      <c r="J14" s="273"/>
      <c r="K14" s="526">
        <f>RANK(I18,($I$18,$I$23,$I$28,$I$33,I$38,$I$43))</f>
        <v>4</v>
      </c>
      <c r="L14" s="526">
        <f>RANK(AA18,($AA$18,$AA$23,$AA$28,$AA$33,$AA$38,$AA$43))</f>
        <v>2</v>
      </c>
      <c r="M14" s="275">
        <f>IFERROR(VLOOKUP(D14,'미니게임_DATA(순)'!$A$4:$EV$60,150,0),0)</f>
        <v>197</v>
      </c>
      <c r="N14" s="273"/>
      <c r="O14" s="526">
        <f>RANK(M18,($M$18,$M$23,$M$28,$M$33,$M$38,$M$43))</f>
        <v>1</v>
      </c>
      <c r="P14" s="526">
        <f>S14</f>
        <v>2</v>
      </c>
      <c r="Q14" s="273">
        <f t="shared" ref="Q14:Q43" si="0">E14+I14+M14</f>
        <v>552</v>
      </c>
      <c r="R14" s="274">
        <f>AVERAGE(E14,I14,M14)</f>
        <v>184</v>
      </c>
      <c r="S14" s="529">
        <f>RANK(Q18,($Q$18,$Q$23,$Q$28,$Q$33,$Q$38,$Q$43))</f>
        <v>2</v>
      </c>
      <c r="T14" s="541">
        <f>MAX($Q$18,$Q$23,Q$28,Q$33,Q$38)-Q18</f>
        <v>24</v>
      </c>
      <c r="U14" s="184">
        <f>IFERROR(R14-VLOOKUP(D14,'미니게임_DATA(순)'!$A:$FB,MATCH("rct 20g avg",'미니게임_DATA(순)'!$A$3:$FB$3,0),0),0)</f>
        <v>16.900000000000006</v>
      </c>
      <c r="W14" s="185">
        <f>MAX(E14,I14,M14)</f>
        <v>197</v>
      </c>
      <c r="X14" s="267">
        <f>R14</f>
        <v>184</v>
      </c>
      <c r="Y14" s="267" t="str">
        <f>VLOOKUP(Z14,'미니게임_DATA(순)'!$A$4:$C$60,3,0)</f>
        <v>남</v>
      </c>
      <c r="Z14" s="187" t="str">
        <f>D14</f>
        <v>최은규</v>
      </c>
      <c r="AI14" s="169" t="s">
        <v>299</v>
      </c>
    </row>
    <row r="15" spans="2:35">
      <c r="C15" s="538"/>
      <c r="D15" s="188" t="s">
        <v>517</v>
      </c>
      <c r="E15" s="275">
        <f>IFERROR(VLOOKUP(D15,'미니게임_DATA(순)'!$A$4:$EV$60,148,0),0)</f>
        <v>213</v>
      </c>
      <c r="F15" s="275"/>
      <c r="G15" s="527"/>
      <c r="H15" s="527"/>
      <c r="I15" s="275">
        <f>IFERROR(VLOOKUP(D15,'미니게임_DATA(순)'!$A$4:$EV$60,149,0),0)</f>
        <v>135</v>
      </c>
      <c r="J15" s="275"/>
      <c r="K15" s="527"/>
      <c r="L15" s="527"/>
      <c r="M15" s="275">
        <f>IFERROR(VLOOKUP(D15,'미니게임_DATA(순)'!$A$4:$EV$60,150,0),0)</f>
        <v>204</v>
      </c>
      <c r="N15" s="275"/>
      <c r="O15" s="527"/>
      <c r="P15" s="527"/>
      <c r="Q15" s="275">
        <f t="shared" si="0"/>
        <v>552</v>
      </c>
      <c r="R15" s="300">
        <f t="shared" ref="R15:R16" si="1">AVERAGE(E15,I15,M15)</f>
        <v>184</v>
      </c>
      <c r="S15" s="530"/>
      <c r="T15" s="527"/>
      <c r="U15" s="190">
        <f>IFERROR(R15-VLOOKUP(D15,'미니게임_DATA(순)'!$A:$FB,MATCH("rct 20g avg",'미니게임_DATA(순)'!$A$3:$FB$3,0),0),0)</f>
        <v>23.349999999999994</v>
      </c>
      <c r="W15" s="185">
        <f t="shared" ref="W15:W16" si="2">MAX(E15,I15,M15)</f>
        <v>213</v>
      </c>
      <c r="X15" s="267">
        <f t="shared" ref="X15:X16" si="3">R15</f>
        <v>184</v>
      </c>
      <c r="Y15" s="267" t="str">
        <f>VLOOKUP(Z15,'미니게임_DATA(순)'!$A$4:$C$60,3,0)</f>
        <v>여</v>
      </c>
      <c r="Z15" s="187" t="str">
        <f>D15</f>
        <v>오수인</v>
      </c>
    </row>
    <row r="16" spans="2:35">
      <c r="C16" s="538"/>
      <c r="D16" s="188" t="s">
        <v>518</v>
      </c>
      <c r="E16" s="275">
        <v>118</v>
      </c>
      <c r="F16" s="275"/>
      <c r="G16" s="527"/>
      <c r="H16" s="527"/>
      <c r="I16" s="275">
        <v>118</v>
      </c>
      <c r="J16" s="275"/>
      <c r="K16" s="527"/>
      <c r="L16" s="527"/>
      <c r="M16" s="275">
        <v>118</v>
      </c>
      <c r="N16" s="275"/>
      <c r="O16" s="527"/>
      <c r="P16" s="527"/>
      <c r="Q16" s="275">
        <f t="shared" si="0"/>
        <v>354</v>
      </c>
      <c r="R16" s="276">
        <f t="shared" si="1"/>
        <v>118</v>
      </c>
      <c r="S16" s="530"/>
      <c r="T16" s="527"/>
      <c r="U16" s="190">
        <f>IFERROR(R16-VLOOKUP(D16,'미니게임_DATA(순)'!$A:$FB,MATCH("rct 20g avg",'미니게임_DATA(순)'!$A$3:$FB$3,0),0),0)</f>
        <v>0</v>
      </c>
      <c r="W16" s="185">
        <f t="shared" si="2"/>
        <v>118</v>
      </c>
      <c r="X16" s="267">
        <f t="shared" si="3"/>
        <v>118</v>
      </c>
      <c r="Y16" s="267" t="s">
        <v>526</v>
      </c>
      <c r="Z16" s="187" t="str">
        <f>D16</f>
        <v>동수</v>
      </c>
    </row>
    <row r="17" spans="3:27">
      <c r="C17" s="538"/>
      <c r="D17" s="191"/>
      <c r="E17" s="279"/>
      <c r="F17" s="279"/>
      <c r="G17" s="527"/>
      <c r="H17" s="527"/>
      <c r="I17" s="279"/>
      <c r="J17" s="279"/>
      <c r="K17" s="527"/>
      <c r="L17" s="527"/>
      <c r="M17" s="279"/>
      <c r="N17" s="279"/>
      <c r="O17" s="527"/>
      <c r="P17" s="527"/>
      <c r="Q17" s="279">
        <f t="shared" si="0"/>
        <v>0</v>
      </c>
      <c r="R17" s="276">
        <f t="shared" ref="R17" si="4">Q17/3</f>
        <v>0</v>
      </c>
      <c r="S17" s="530"/>
      <c r="T17" s="527"/>
      <c r="U17" s="190">
        <f>IFERROR(R17-VLOOKUP(D17,'미니게임_DATA(순)'!$A:$FB,MATCH("rct 20g avg",'미니게임_DATA(순)'!$A$3:$FB$3,0),0),0)</f>
        <v>0</v>
      </c>
      <c r="W17" s="185"/>
      <c r="Z17" s="187"/>
    </row>
    <row r="18" spans="3:27" ht="16.5">
      <c r="C18" s="539"/>
      <c r="D18" s="466"/>
      <c r="E18" s="535">
        <f>SUMIF(E14:F17, "&gt;0")</f>
        <v>512</v>
      </c>
      <c r="F18" s="498"/>
      <c r="G18" s="528"/>
      <c r="H18" s="528"/>
      <c r="I18" s="535">
        <f>SUMIF(I14:J17, "&gt;0")</f>
        <v>427</v>
      </c>
      <c r="J18" s="498"/>
      <c r="K18" s="528"/>
      <c r="L18" s="528"/>
      <c r="M18" s="535">
        <f>SUMIF(M14:N17, "&gt;0")</f>
        <v>519</v>
      </c>
      <c r="N18" s="498"/>
      <c r="O18" s="528"/>
      <c r="P18" s="528"/>
      <c r="Q18" s="272">
        <f t="shared" si="0"/>
        <v>1458</v>
      </c>
      <c r="R18" s="196"/>
      <c r="S18" s="531"/>
      <c r="T18" s="528"/>
      <c r="U18" s="277">
        <f>IFERROR(R18-VLOOKUP(D18,'미니게임_DATA(순)'!$A:$FB,MATCH("rct 20g avg",'미니게임_DATA(순)'!$A$3:$FB$3,0),0),0)</f>
        <v>0</v>
      </c>
      <c r="V18" s="185"/>
      <c r="W18" s="185"/>
      <c r="Z18" s="187">
        <f>D18</f>
        <v>0</v>
      </c>
      <c r="AA18" s="187">
        <f>SUM(E18,I18)</f>
        <v>939</v>
      </c>
    </row>
    <row r="19" spans="3:27">
      <c r="C19" s="540" t="s">
        <v>488</v>
      </c>
      <c r="D19" s="180" t="s">
        <v>519</v>
      </c>
      <c r="E19" s="275">
        <f>IFERROR(VLOOKUP(D19,'미니게임_DATA(순)'!$A$4:$EV$60,148,0),0)</f>
        <v>196</v>
      </c>
      <c r="F19" s="273"/>
      <c r="G19" s="526">
        <f>RANK(E23,($E$18,$E$23,$E$28,$E$33,E$38,$E$43))</f>
        <v>2</v>
      </c>
      <c r="H19" s="526">
        <f t="shared" ref="H19" si="5">G19</f>
        <v>2</v>
      </c>
      <c r="I19" s="275">
        <f>IFERROR(VLOOKUP(D19,'미니게임_DATA(순)'!$A$4:$EV$60,149,0),0)</f>
        <v>182</v>
      </c>
      <c r="J19" s="273"/>
      <c r="K19" s="526">
        <f>RANK(I23,($I$18,$I$23,$I$28,$I$33,I$38,$I$43))</f>
        <v>1</v>
      </c>
      <c r="L19" s="526">
        <f>RANK(AA23,($AA$18,$AA$23,$AA$28,$AA$33,$AA$38,$AA$43))</f>
        <v>1</v>
      </c>
      <c r="M19" s="275">
        <f>IFERROR(VLOOKUP(D19,'미니게임_DATA(순)'!$A$4:$EV$60,150,0),0)</f>
        <v>158</v>
      </c>
      <c r="N19" s="273"/>
      <c r="O19" s="526">
        <f>RANK(M23,($M$18,$M$23,$M$28,$M$33,$M$38,$M$43))</f>
        <v>2</v>
      </c>
      <c r="P19" s="526">
        <f t="shared" ref="P19" si="6">S19</f>
        <v>1</v>
      </c>
      <c r="Q19" s="273">
        <f t="shared" si="0"/>
        <v>536</v>
      </c>
      <c r="R19" s="274">
        <f>AVERAGE(E19,I19,M19)</f>
        <v>178.66666666666666</v>
      </c>
      <c r="S19" s="529">
        <f>RANK(Q23,($Q$18,$Q$23,$Q$28,$Q$33,$Q$38,$Q$43))</f>
        <v>1</v>
      </c>
      <c r="T19" s="532">
        <f>MAX($Q$18,$Q$23,Q$28,Q$33,Q$38)-Q23</f>
        <v>0</v>
      </c>
      <c r="U19" s="184">
        <f>IFERROR(R19-VLOOKUP(D19,'미니게임_DATA(순)'!$A:$FB,MATCH("rct 20g avg",'미니게임_DATA(순)'!$A$3:$FB$3,0),0),0)</f>
        <v>14.116666666666646</v>
      </c>
      <c r="W19" s="185">
        <f>MAX(E19,I19,M19)</f>
        <v>196</v>
      </c>
      <c r="X19" s="267">
        <f>R19</f>
        <v>178.66666666666666</v>
      </c>
      <c r="Y19" s="267" t="str">
        <f>VLOOKUP(Z19,'미니게임_DATA(순)'!$A$4:$C$60,3,0)</f>
        <v>남</v>
      </c>
      <c r="Z19" s="187" t="str">
        <f>D19</f>
        <v>채승엽</v>
      </c>
    </row>
    <row r="20" spans="3:27">
      <c r="C20" s="538"/>
      <c r="D20" s="188" t="s">
        <v>520</v>
      </c>
      <c r="E20" s="275">
        <f>IFERROR(VLOOKUP(D20,'미니게임_DATA(순)'!$A$4:$EV$60,148,0),0)</f>
        <v>150</v>
      </c>
      <c r="F20" s="275"/>
      <c r="G20" s="527"/>
      <c r="H20" s="527"/>
      <c r="I20" s="275">
        <f>IFERROR(VLOOKUP(D20,'미니게임_DATA(순)'!$A$4:$EV$60,149,0),0)</f>
        <v>183</v>
      </c>
      <c r="J20" s="275"/>
      <c r="K20" s="527"/>
      <c r="L20" s="527"/>
      <c r="M20" s="275">
        <f>IFERROR(VLOOKUP(D20,'미니게임_DATA(순)'!$A$4:$EV$60,150,0),0)</f>
        <v>159</v>
      </c>
      <c r="N20" s="275"/>
      <c r="O20" s="527"/>
      <c r="P20" s="527"/>
      <c r="Q20" s="275">
        <f t="shared" si="0"/>
        <v>492</v>
      </c>
      <c r="R20" s="300">
        <f t="shared" ref="R20:R21" si="7">AVERAGE(E20,I20,M20)</f>
        <v>164</v>
      </c>
      <c r="S20" s="530"/>
      <c r="T20" s="533"/>
      <c r="U20" s="190">
        <f>IFERROR(R20-VLOOKUP(D20,'미니게임_DATA(순)'!$A:$FB,MATCH("rct 20g avg",'미니게임_DATA(순)'!$A$3:$FB$3,0),0),0)</f>
        <v>5.8499999999999943</v>
      </c>
      <c r="W20" s="185">
        <f t="shared" ref="W20:W21" si="8">MAX(E20,I20,M20)</f>
        <v>183</v>
      </c>
      <c r="X20" s="267">
        <f>R20</f>
        <v>164</v>
      </c>
      <c r="Y20" s="267" t="str">
        <f>VLOOKUP(Z20,'미니게임_DATA(순)'!$A$4:$C$60,3,0)</f>
        <v>남</v>
      </c>
      <c r="Z20" s="187" t="str">
        <f>D20</f>
        <v>박용승</v>
      </c>
    </row>
    <row r="21" spans="3:27">
      <c r="C21" s="538"/>
      <c r="D21" s="188" t="s">
        <v>404</v>
      </c>
      <c r="E21" s="275">
        <f>IFERROR(VLOOKUP(D21,'미니게임_DATA(순)'!$A$4:$EV$60,148,0),0)</f>
        <v>162</v>
      </c>
      <c r="F21" s="275"/>
      <c r="G21" s="527"/>
      <c r="H21" s="527"/>
      <c r="I21" s="275">
        <f>IFERROR(VLOOKUP(D21,'미니게임_DATA(순)'!$A$4:$EV$60,149,0),0)</f>
        <v>140</v>
      </c>
      <c r="J21" s="275"/>
      <c r="K21" s="527"/>
      <c r="L21" s="527"/>
      <c r="M21" s="275">
        <f>IFERROR(VLOOKUP(D21,'미니게임_DATA(순)'!$A$4:$EV$60,150,0),0)</f>
        <v>152</v>
      </c>
      <c r="N21" s="275"/>
      <c r="O21" s="527"/>
      <c r="P21" s="527"/>
      <c r="Q21" s="275">
        <f t="shared" si="0"/>
        <v>454</v>
      </c>
      <c r="R21" s="276">
        <f t="shared" si="7"/>
        <v>151.33333333333334</v>
      </c>
      <c r="S21" s="530"/>
      <c r="T21" s="533"/>
      <c r="U21" s="190">
        <f>IFERROR(R21-VLOOKUP(D21,'미니게임_DATA(순)'!$A:$FB,MATCH("rct 20g avg",'미니게임_DATA(순)'!$A$3:$FB$3,0),0),0)</f>
        <v>14.383333333333354</v>
      </c>
      <c r="W21" s="185">
        <f t="shared" si="8"/>
        <v>162</v>
      </c>
      <c r="X21" s="267">
        <f>R21</f>
        <v>151.33333333333334</v>
      </c>
      <c r="Y21" s="267" t="str">
        <f>VLOOKUP(Z21,'미니게임_DATA(순)'!$A$4:$C$60,3,0)</f>
        <v>남</v>
      </c>
      <c r="Z21" s="187" t="str">
        <f>D21</f>
        <v>남준석</v>
      </c>
    </row>
    <row r="22" spans="3:27">
      <c r="C22" s="538"/>
      <c r="D22" s="188"/>
      <c r="E22" s="279"/>
      <c r="F22" s="279"/>
      <c r="G22" s="527"/>
      <c r="H22" s="527"/>
      <c r="I22" s="279"/>
      <c r="J22" s="279"/>
      <c r="K22" s="527"/>
      <c r="L22" s="527"/>
      <c r="M22" s="279"/>
      <c r="N22" s="279"/>
      <c r="O22" s="527"/>
      <c r="P22" s="527"/>
      <c r="Q22" s="279">
        <f t="shared" si="0"/>
        <v>0</v>
      </c>
      <c r="R22" s="276">
        <f t="shared" ref="R22" si="9">Q22/3</f>
        <v>0</v>
      </c>
      <c r="S22" s="530"/>
      <c r="T22" s="533"/>
      <c r="U22" s="190">
        <f>IFERROR(R22-VLOOKUP(D22,'미니게임_DATA(순)'!$A:$FB,MATCH("rct 20g avg",'미니게임_DATA(순)'!$A$3:$FB$3,0),0),0)</f>
        <v>0</v>
      </c>
      <c r="W22" s="185"/>
      <c r="Z22" s="187">
        <f>D22</f>
        <v>0</v>
      </c>
    </row>
    <row r="23" spans="3:27" ht="16.5">
      <c r="C23" s="539"/>
      <c r="D23" s="466"/>
      <c r="E23" s="535">
        <f>SUMIF(E19:F22, "&gt;0")</f>
        <v>508</v>
      </c>
      <c r="F23" s="498"/>
      <c r="G23" s="528"/>
      <c r="H23" s="528"/>
      <c r="I23" s="535">
        <f>SUMIF(I19:J22, "&gt;0")</f>
        <v>505</v>
      </c>
      <c r="J23" s="498"/>
      <c r="K23" s="528"/>
      <c r="L23" s="528"/>
      <c r="M23" s="535">
        <f>SUMIF(M19:N22, "&gt;0")</f>
        <v>469</v>
      </c>
      <c r="N23" s="498"/>
      <c r="O23" s="528"/>
      <c r="P23" s="528"/>
      <c r="Q23" s="272">
        <f t="shared" si="0"/>
        <v>1482</v>
      </c>
      <c r="R23" s="196"/>
      <c r="S23" s="531"/>
      <c r="T23" s="534"/>
      <c r="U23" s="277">
        <f>IFERROR(R23-VLOOKUP(D23,'미니게임_DATA(순)'!$A:$FB,MATCH("rct 20g avg",'미니게임_DATA(순)'!$A$3:$FB$3,0),0),0)</f>
        <v>0</v>
      </c>
      <c r="V23" s="185"/>
      <c r="W23" s="185"/>
      <c r="Z23" s="187">
        <f t="shared" ref="Z23:Z32" si="10">D23</f>
        <v>0</v>
      </c>
      <c r="AA23" s="187">
        <f>SUM(E23,I23)</f>
        <v>1013</v>
      </c>
    </row>
    <row r="24" spans="3:27">
      <c r="C24" s="540" t="s">
        <v>507</v>
      </c>
      <c r="D24" s="180" t="s">
        <v>521</v>
      </c>
      <c r="E24" s="275">
        <f>IFERROR(VLOOKUP(D24,'미니게임_DATA(순)'!$A$4:$EV$60,148,0),0)</f>
        <v>167</v>
      </c>
      <c r="F24" s="273"/>
      <c r="G24" s="526">
        <f>RANK(E28,($E$18,$E$23,$E$28,$E$33,E$38,$E$43))</f>
        <v>4</v>
      </c>
      <c r="H24" s="526">
        <f t="shared" ref="H24" si="11">G24</f>
        <v>4</v>
      </c>
      <c r="I24" s="275">
        <f>IFERROR(VLOOKUP(D24,'미니게임_DATA(순)'!$A$4:$EV$60,149,0),0)</f>
        <v>164</v>
      </c>
      <c r="J24" s="273"/>
      <c r="K24" s="526">
        <f>RANK(I28,($I$18,$I$23,$I$28,$I$33,I$38,$I$43))</f>
        <v>2</v>
      </c>
      <c r="L24" s="526">
        <f>RANK(AA28,($AA$18,$AA$23,$AA$28,$AA$33,$AA$38,$AA$43))</f>
        <v>4</v>
      </c>
      <c r="M24" s="275">
        <f>IFERROR(VLOOKUP(D24,'미니게임_DATA(순)'!$A$4:$EV$60,150,0),0)</f>
        <v>171</v>
      </c>
      <c r="N24" s="273"/>
      <c r="O24" s="526">
        <f>RANK(M28,($M$18,$M$23,$M$28,$M$33,$M$38,$M$43))</f>
        <v>3</v>
      </c>
      <c r="P24" s="526">
        <f t="shared" ref="P24" si="12">S24</f>
        <v>3</v>
      </c>
      <c r="Q24" s="273">
        <f t="shared" si="0"/>
        <v>502</v>
      </c>
      <c r="R24" s="274">
        <f>AVERAGE(E24,I24,M24)</f>
        <v>167.33333333333334</v>
      </c>
      <c r="S24" s="529">
        <f>RANK(Q28,($Q$18,$Q$23,$Q$28,$Q$33,$Q$38,$Q$43))</f>
        <v>3</v>
      </c>
      <c r="T24" s="532">
        <f>MAX($Q$18,$Q$23,Q$28,Q$33,Q$38)-Q28</f>
        <v>213</v>
      </c>
      <c r="U24" s="184">
        <f>IFERROR(R24-VLOOKUP(D24,'미니게임_DATA(순)'!$A:$FB,MATCH("rct 20g avg",'미니게임_DATA(순)'!$A$3:$FB$3,0),0),0)</f>
        <v>3.5833333333333428</v>
      </c>
      <c r="W24" s="185">
        <f t="shared" ref="W24:W27" si="13">MAX(E24,I24,M24)</f>
        <v>171</v>
      </c>
      <c r="X24" s="267">
        <f>R24</f>
        <v>167.33333333333334</v>
      </c>
      <c r="Y24" s="267" t="str">
        <f>VLOOKUP(Z24,'미니게임_DATA(순)'!$A$4:$C$60,3,0)</f>
        <v>여</v>
      </c>
      <c r="Z24" s="187" t="str">
        <f t="shared" si="10"/>
        <v>손하은</v>
      </c>
    </row>
    <row r="25" spans="3:27">
      <c r="C25" s="538"/>
      <c r="D25" s="188" t="s">
        <v>522</v>
      </c>
      <c r="E25" s="275">
        <f>IFERROR(VLOOKUP(D25,'미니게임_DATA(순)'!$A$4:$EV$60,148,0),0)</f>
        <v>114</v>
      </c>
      <c r="F25" s="275"/>
      <c r="G25" s="527"/>
      <c r="H25" s="527"/>
      <c r="I25" s="275">
        <f>IFERROR(VLOOKUP(D25,'미니게임_DATA(순)'!$A$4:$EV$60,149,0),0)</f>
        <v>165</v>
      </c>
      <c r="J25" s="275"/>
      <c r="K25" s="527"/>
      <c r="L25" s="527"/>
      <c r="M25" s="275">
        <f>IFERROR(VLOOKUP(D25,'미니게임_DATA(순)'!$A$4:$EV$60,150,0),0)</f>
        <v>109</v>
      </c>
      <c r="N25" s="275"/>
      <c r="O25" s="527"/>
      <c r="P25" s="527"/>
      <c r="Q25" s="275">
        <f t="shared" si="0"/>
        <v>388</v>
      </c>
      <c r="R25" s="300">
        <f t="shared" ref="R25:R26" si="14">AVERAGE(E25,I25,M25)</f>
        <v>129.33333333333334</v>
      </c>
      <c r="S25" s="530"/>
      <c r="T25" s="533"/>
      <c r="U25" s="190">
        <f>IFERROR(R25-VLOOKUP(D25,'미니게임_DATA(순)'!$A:$FB,MATCH("rct 20g avg",'미니게임_DATA(순)'!$A$3:$FB$3,0),0),0)</f>
        <v>-3.8666666666666458</v>
      </c>
      <c r="W25" s="185">
        <f t="shared" si="13"/>
        <v>165</v>
      </c>
      <c r="X25" s="267">
        <f>R25</f>
        <v>129.33333333333334</v>
      </c>
      <c r="Y25" s="267" t="str">
        <f>VLOOKUP(Z25,'미니게임_DATA(순)'!$A$4:$C$60,3,0)</f>
        <v>남</v>
      </c>
      <c r="Z25" s="187" t="str">
        <f t="shared" si="10"/>
        <v>권진현</v>
      </c>
    </row>
    <row r="26" spans="3:27">
      <c r="C26" s="538"/>
      <c r="D26" s="188" t="s">
        <v>523</v>
      </c>
      <c r="E26" s="275">
        <f>IFERROR(VLOOKUP(D26,'미니게임_DATA(순)'!$A$4:$EV$60,148,0),0)</f>
        <v>106</v>
      </c>
      <c r="F26" s="275">
        <v>20</v>
      </c>
      <c r="G26" s="527"/>
      <c r="H26" s="527"/>
      <c r="I26" s="275">
        <f>IFERROR(VLOOKUP(D26,'미니게임_DATA(순)'!$A$4:$EV$60,149,0),0)</f>
        <v>103</v>
      </c>
      <c r="J26" s="275">
        <v>20</v>
      </c>
      <c r="K26" s="527"/>
      <c r="L26" s="527"/>
      <c r="M26" s="275">
        <f>IFERROR(VLOOKUP(D26,'미니게임_DATA(순)'!$A$4:$EV$60,150,0),0)</f>
        <v>110</v>
      </c>
      <c r="N26" s="275">
        <v>20</v>
      </c>
      <c r="O26" s="527"/>
      <c r="P26" s="527"/>
      <c r="Q26" s="275">
        <f t="shared" si="0"/>
        <v>319</v>
      </c>
      <c r="R26" s="276">
        <f t="shared" si="14"/>
        <v>106.33333333333333</v>
      </c>
      <c r="S26" s="530"/>
      <c r="T26" s="533"/>
      <c r="U26" s="190">
        <f>IFERROR(R26-VLOOKUP(D26,'미니게임_DATA(순)'!$A:$FB,MATCH("rct 20g avg",'미니게임_DATA(순)'!$A$3:$FB$3,0),0),0)</f>
        <v>9.5833333333333286</v>
      </c>
      <c r="W26" s="185">
        <f t="shared" si="13"/>
        <v>110</v>
      </c>
      <c r="X26" s="267">
        <f>R26</f>
        <v>106.33333333333333</v>
      </c>
      <c r="Y26" s="267" t="str">
        <f>VLOOKUP(Z26,'미니게임_DATA(순)'!$A$4:$C$60,3,0)</f>
        <v>남</v>
      </c>
      <c r="Z26" s="187" t="str">
        <f t="shared" si="10"/>
        <v>이경준</v>
      </c>
    </row>
    <row r="27" spans="3:27">
      <c r="C27" s="538"/>
      <c r="D27" s="191"/>
      <c r="E27" s="302">
        <f>IFERROR(VLOOKUP(D27,'미니게임_DATA(순)'!$A$4:$EV$45,111,0),0)</f>
        <v>0</v>
      </c>
      <c r="F27" s="279"/>
      <c r="G27" s="527"/>
      <c r="H27" s="527"/>
      <c r="I27" s="302">
        <f>IFERROR(VLOOKUP(D27,'미니게임_DATA(순)'!$A$4:$EV$45,112,0),0)</f>
        <v>0</v>
      </c>
      <c r="J27" s="279"/>
      <c r="K27" s="527"/>
      <c r="L27" s="527"/>
      <c r="M27" s="302">
        <f>IFERROR(VLOOKUP(D27,'미니게임_DATA(순)'!$A$4:$EV$45,113,0),0)</f>
        <v>0</v>
      </c>
      <c r="N27" s="279"/>
      <c r="O27" s="527"/>
      <c r="P27" s="527"/>
      <c r="Q27" s="279">
        <f t="shared" si="0"/>
        <v>0</v>
      </c>
      <c r="R27" s="276">
        <f t="shared" ref="R27" si="15">Q27/3</f>
        <v>0</v>
      </c>
      <c r="S27" s="530"/>
      <c r="T27" s="533"/>
      <c r="U27" s="190">
        <f>IFERROR(R27-VLOOKUP(D27,'미니게임_DATA(순)'!$A:$FB,MATCH("rct 20g avg",'미니게임_DATA(순)'!$A$3:$FB$3,0),0),0)</f>
        <v>0</v>
      </c>
      <c r="W27" s="185">
        <f t="shared" si="13"/>
        <v>0</v>
      </c>
      <c r="X27" s="267">
        <f>R27</f>
        <v>0</v>
      </c>
      <c r="Y27" s="388" t="s">
        <v>239</v>
      </c>
      <c r="Z27" s="187">
        <f t="shared" si="10"/>
        <v>0</v>
      </c>
    </row>
    <row r="28" spans="3:27" ht="16.5">
      <c r="C28" s="539"/>
      <c r="D28" s="466"/>
      <c r="E28" s="535">
        <f>SUMIF(E24:F26, "&gt;0")</f>
        <v>407</v>
      </c>
      <c r="F28" s="498"/>
      <c r="G28" s="528"/>
      <c r="H28" s="528"/>
      <c r="I28" s="535">
        <f>SUMIF(I24:J26, "&gt;0")</f>
        <v>452</v>
      </c>
      <c r="J28" s="498"/>
      <c r="K28" s="528"/>
      <c r="L28" s="528"/>
      <c r="M28" s="535">
        <f>SUMIF(M24:N26, "&gt;0")</f>
        <v>410</v>
      </c>
      <c r="N28" s="498"/>
      <c r="O28" s="528"/>
      <c r="P28" s="528"/>
      <c r="Q28" s="272">
        <f t="shared" si="0"/>
        <v>1269</v>
      </c>
      <c r="R28" s="196"/>
      <c r="S28" s="531"/>
      <c r="T28" s="534"/>
      <c r="U28" s="277">
        <f>IFERROR(R28-VLOOKUP(D28,'미니게임_DATA(순)'!$A:$FB,MATCH("rct 20g avg",'미니게임_DATA(순)'!$A$3:$FB$3,0),0),0)</f>
        <v>0</v>
      </c>
      <c r="V28" s="185"/>
      <c r="W28" s="185"/>
      <c r="Z28" s="187">
        <f t="shared" si="10"/>
        <v>0</v>
      </c>
      <c r="AA28" s="187">
        <f>SUM(E28,I28)</f>
        <v>859</v>
      </c>
    </row>
    <row r="29" spans="3:27">
      <c r="C29" s="540" t="s">
        <v>508</v>
      </c>
      <c r="D29" s="180" t="s">
        <v>524</v>
      </c>
      <c r="E29" s="275">
        <f>IFERROR(VLOOKUP(D29,'미니게임_DATA(순)'!$A$4:$EV$60,148,0),0)</f>
        <v>200</v>
      </c>
      <c r="F29" s="273"/>
      <c r="G29" s="526">
        <f>RANK(E33,($E$18,$E$23,$E$28,$E$33,E$38,$E$43))</f>
        <v>3</v>
      </c>
      <c r="H29" s="526">
        <f t="shared" ref="H29" si="16">G29</f>
        <v>3</v>
      </c>
      <c r="I29" s="275">
        <f>IFERROR(VLOOKUP(D29,'미니게임_DATA(순)'!$A$4:$EV$60,149,0),0)</f>
        <v>145</v>
      </c>
      <c r="J29" s="273"/>
      <c r="K29" s="526">
        <f>RANK(I33,($I$18,$I$23,$I$28,$I$33,I$38,$I$43))</f>
        <v>3</v>
      </c>
      <c r="L29" s="526">
        <f>RANK(AA33,($AA$18,$AA$23,$AA$28,$AA$33,$AA$38,$AA$43))</f>
        <v>3</v>
      </c>
      <c r="M29" s="275">
        <f>IFERROR(VLOOKUP(D29,'미니게임_DATA(순)'!$A$4:$EV$60,150,0),0)</f>
        <v>128</v>
      </c>
      <c r="N29" s="273"/>
      <c r="O29" s="526">
        <f>RANK(M33,($M$18,$M$23,$M$28,$M$33,$M$38,$M$43))</f>
        <v>4</v>
      </c>
      <c r="P29" s="526">
        <f t="shared" ref="P29" si="17">S29</f>
        <v>4</v>
      </c>
      <c r="Q29" s="273">
        <f t="shared" si="0"/>
        <v>473</v>
      </c>
      <c r="R29" s="274">
        <f>AVERAGE(E29,I29,M29)</f>
        <v>157.66666666666666</v>
      </c>
      <c r="S29" s="529">
        <f>RANK(Q33,($Q$18,$Q$23,$Q$28,$Q$33,$Q$38,$Q$43))</f>
        <v>4</v>
      </c>
      <c r="T29" s="532">
        <f>MAX($Q$18,$Q$23,Q$28,Q$33,Q$38)-Q33</f>
        <v>227</v>
      </c>
      <c r="U29" s="184">
        <f>IFERROR(R29-VLOOKUP(D29,'미니게임_DATA(순)'!$A:$FB,MATCH("rct 20g avg",'미니게임_DATA(순)'!$A$3:$FB$3,0),0),0)</f>
        <v>0.46666666666666856</v>
      </c>
      <c r="W29" s="185">
        <f t="shared" ref="W29:W31" si="18">MAX(E29,I29,M29)</f>
        <v>200</v>
      </c>
      <c r="X29" s="267">
        <f>R29</f>
        <v>157.66666666666666</v>
      </c>
      <c r="Y29" s="267" t="str">
        <f>VLOOKUP(Z29,'미니게임_DATA(순)'!$A$4:$C$60,3,0)</f>
        <v>남</v>
      </c>
      <c r="Z29" s="187" t="str">
        <f t="shared" si="10"/>
        <v>백동민</v>
      </c>
    </row>
    <row r="30" spans="3:27">
      <c r="C30" s="538"/>
      <c r="D30" s="188" t="s">
        <v>525</v>
      </c>
      <c r="E30" s="275">
        <f>IFERROR(VLOOKUP(D30,'미니게임_DATA(순)'!$A$4:$EV$60,148,0),0)</f>
        <v>135</v>
      </c>
      <c r="F30" s="275"/>
      <c r="G30" s="527"/>
      <c r="H30" s="527"/>
      <c r="I30" s="275">
        <f>IFERROR(VLOOKUP(D30,'미니게임_DATA(순)'!$A$4:$EV$60,149,0),0)</f>
        <v>167</v>
      </c>
      <c r="J30" s="275"/>
      <c r="K30" s="527"/>
      <c r="L30" s="527"/>
      <c r="M30" s="275">
        <f>IFERROR(VLOOKUP(D30,'미니게임_DATA(순)'!$A$4:$EV$60,150,0),0)</f>
        <v>134</v>
      </c>
      <c r="N30" s="275"/>
      <c r="O30" s="527"/>
      <c r="P30" s="527"/>
      <c r="Q30" s="275">
        <f t="shared" si="0"/>
        <v>436</v>
      </c>
      <c r="R30" s="300">
        <f t="shared" ref="R30" si="19">AVERAGE(E30,I30,M30)</f>
        <v>145.33333333333334</v>
      </c>
      <c r="S30" s="530"/>
      <c r="T30" s="533"/>
      <c r="U30" s="190">
        <f>IFERROR(R30-VLOOKUP(D30,'미니게임_DATA(순)'!$A:$FB,MATCH("rct 20g avg",'미니게임_DATA(순)'!$A$3:$FB$3,0),0),0)</f>
        <v>-11.766666666666652</v>
      </c>
      <c r="W30" s="185">
        <f t="shared" si="18"/>
        <v>167</v>
      </c>
      <c r="X30" s="267">
        <f>R30</f>
        <v>145.33333333333334</v>
      </c>
      <c r="Y30" s="267" t="str">
        <f>VLOOKUP(Z30,'미니게임_DATA(순)'!$A$4:$C$60,3,0)</f>
        <v>남</v>
      </c>
      <c r="Z30" s="187" t="str">
        <f t="shared" si="10"/>
        <v>정동현</v>
      </c>
    </row>
    <row r="31" spans="3:27">
      <c r="C31" s="538"/>
      <c r="D31" s="188" t="s">
        <v>371</v>
      </c>
      <c r="E31" s="275">
        <f>IFERROR(VLOOKUP(D31,'미니게임_DATA(순)'!$A$4:$EV$60,148,0),0)</f>
        <v>120</v>
      </c>
      <c r="F31" s="275"/>
      <c r="G31" s="527"/>
      <c r="H31" s="527"/>
      <c r="I31" s="275">
        <f>IFERROR(VLOOKUP(D31,'미니게임_DATA(순)'!$A$4:$EV$60,149,0),0)</f>
        <v>122</v>
      </c>
      <c r="J31" s="275"/>
      <c r="K31" s="527"/>
      <c r="L31" s="527"/>
      <c r="M31" s="275">
        <f>IFERROR(VLOOKUP(D31,'미니게임_DATA(순)'!$A$4:$EV$60,150,0),0)</f>
        <v>104</v>
      </c>
      <c r="N31" s="275"/>
      <c r="O31" s="527"/>
      <c r="P31" s="527"/>
      <c r="Q31" s="275">
        <f t="shared" si="0"/>
        <v>346</v>
      </c>
      <c r="R31" s="276">
        <f t="shared" ref="R31:R32" si="20">Q31/3</f>
        <v>115.33333333333333</v>
      </c>
      <c r="S31" s="530"/>
      <c r="T31" s="533"/>
      <c r="U31" s="190">
        <f>IFERROR(R31-VLOOKUP(D31,'미니게임_DATA(순)'!$A:$FB,MATCH("rct 20g avg",'미니게임_DATA(순)'!$A$3:$FB$3,0),0),0)</f>
        <v>-7.4166666666666714</v>
      </c>
      <c r="W31" s="185">
        <f t="shared" si="18"/>
        <v>122</v>
      </c>
      <c r="X31" s="267">
        <f>R31</f>
        <v>115.33333333333333</v>
      </c>
      <c r="Y31" s="267" t="str">
        <f>VLOOKUP(Z31,'미니게임_DATA(순)'!$A$4:$C$60,3,0)</f>
        <v>남</v>
      </c>
      <c r="Z31" s="187" t="str">
        <f t="shared" si="10"/>
        <v>이종현</v>
      </c>
    </row>
    <row r="32" spans="3:27">
      <c r="C32" s="538"/>
      <c r="D32" s="188"/>
      <c r="E32" s="387">
        <f>IFERROR(VLOOKUP(D32,'미니게임_DATA(순)'!$A$4:$EV$45,115,0),0)</f>
        <v>0</v>
      </c>
      <c r="F32" s="279"/>
      <c r="G32" s="527"/>
      <c r="H32" s="527"/>
      <c r="I32" s="387">
        <f>IFERROR(VLOOKUP(D32,'미니게임_DATA(순)'!$A$4:$EV$45,116,0),0)</f>
        <v>0</v>
      </c>
      <c r="J32" s="279"/>
      <c r="K32" s="527"/>
      <c r="L32" s="527"/>
      <c r="M32" s="387">
        <f>IFERROR(VLOOKUP(D32,'미니게임_DATA(순)'!$A$4:$EV$45,117,0),0)</f>
        <v>0</v>
      </c>
      <c r="N32" s="279"/>
      <c r="O32" s="527"/>
      <c r="P32" s="527"/>
      <c r="Q32" s="279">
        <f t="shared" si="0"/>
        <v>0</v>
      </c>
      <c r="R32" s="276">
        <f t="shared" si="20"/>
        <v>0</v>
      </c>
      <c r="S32" s="530"/>
      <c r="T32" s="533"/>
      <c r="U32" s="190">
        <f>IFERROR(R32-VLOOKUP(D32,'미니게임_DATA(순)'!$A:$FB,MATCH("rct 20g avg",'미니게임_DATA(순)'!$A$3:$FB$3,0),0),0)</f>
        <v>0</v>
      </c>
      <c r="W32" s="185"/>
      <c r="Y32" s="267" t="str">
        <f>IFERROR(VLOOKUP(Z32,'미니게임_DATA(순)'!$A$4:$C$45,3,0),"-")</f>
        <v>-</v>
      </c>
      <c r="Z32" s="187">
        <f t="shared" si="10"/>
        <v>0</v>
      </c>
    </row>
    <row r="33" spans="2:28" ht="16.5">
      <c r="C33" s="539"/>
      <c r="D33" s="466"/>
      <c r="E33" s="535">
        <f>SUMIF(E29:F31, "&gt;0")</f>
        <v>455</v>
      </c>
      <c r="F33" s="498"/>
      <c r="G33" s="528"/>
      <c r="H33" s="528"/>
      <c r="I33" s="535">
        <f>SUMIF(I29:J31, "&gt;0")</f>
        <v>434</v>
      </c>
      <c r="J33" s="498"/>
      <c r="K33" s="528"/>
      <c r="L33" s="528"/>
      <c r="M33" s="535">
        <f>SUMIF(M29:N31, "&gt;0")</f>
        <v>366</v>
      </c>
      <c r="N33" s="536"/>
      <c r="O33" s="528"/>
      <c r="P33" s="528"/>
      <c r="Q33" s="272">
        <f t="shared" si="0"/>
        <v>1255</v>
      </c>
      <c r="R33" s="196"/>
      <c r="S33" s="531"/>
      <c r="T33" s="534"/>
      <c r="U33" s="277">
        <f>IFERROR(R33-VLOOKUP(D33,'미니게임_DATA(순)'!$A:$FB,MATCH("rct 20g avg",'미니게임_DATA(순)'!$A$3:$FB$3,0),0),0)</f>
        <v>0</v>
      </c>
      <c r="V33" s="185"/>
      <c r="W33" s="185"/>
      <c r="Y33" s="267" t="str">
        <f>IFERROR(VLOOKUP(Z33,'미니게임_DATA(순)'!$A$4:$C$45,3,0),"-")</f>
        <v>-</v>
      </c>
      <c r="Z33" s="187">
        <f>D33</f>
        <v>0</v>
      </c>
      <c r="AA33" s="187">
        <f>SUM(E33,I33)</f>
        <v>889</v>
      </c>
    </row>
    <row r="34" spans="2:28">
      <c r="C34" s="540" t="s">
        <v>509</v>
      </c>
      <c r="D34" s="180"/>
      <c r="E34" s="275">
        <f>IFERROR(VLOOKUP(D34,'미니게임_DATA(순)'!$A$4:$EV$60,142,0),0)</f>
        <v>0</v>
      </c>
      <c r="F34" s="273"/>
      <c r="G34" s="526">
        <f>RANK(E38,($E$18,$E$23,$E$28,$E$33,E$38,$E$43))</f>
        <v>5</v>
      </c>
      <c r="H34" s="526">
        <f t="shared" ref="H34" si="21">G34</f>
        <v>5</v>
      </c>
      <c r="I34" s="275">
        <f>IFERROR(VLOOKUP(D34,'미니게임_DATA(순)'!$A$4:$EV$60,143,0),0)</f>
        <v>0</v>
      </c>
      <c r="J34" s="273"/>
      <c r="K34" s="526">
        <f>RANK(I38,($I$18,$I$23,$I$28,$I$33,I$38,$I$43))</f>
        <v>5</v>
      </c>
      <c r="L34" s="526">
        <f>RANK(AA38,($AA$18,$AA$23,$AA$28,$AA$33,$AA$38,$AA$43))</f>
        <v>5</v>
      </c>
      <c r="M34" s="275">
        <f>IFERROR(VLOOKUP(D34,'미니게임_DATA(순)'!$A$4:$EV$60,144,0),0)</f>
        <v>0</v>
      </c>
      <c r="N34" s="273"/>
      <c r="O34" s="526">
        <f>RANK(M38,($M$18,$M$23,$M$28,$M$33,$M$38,$M$43))</f>
        <v>5</v>
      </c>
      <c r="P34" s="526">
        <f t="shared" ref="P34" si="22">S34</f>
        <v>5</v>
      </c>
      <c r="Q34" s="273">
        <f t="shared" si="0"/>
        <v>0</v>
      </c>
      <c r="R34" s="274">
        <f>AVERAGE(E34,I34,M34)</f>
        <v>0</v>
      </c>
      <c r="S34" s="529">
        <f>RANK(Q38,($Q$18,$Q$23,$Q$28,$Q$33,$Q$38,$Q$43))</f>
        <v>5</v>
      </c>
      <c r="T34" s="532">
        <f>MAX($Q$18,$Q$23,Q$28,Q$33,Q$38)-Q38</f>
        <v>1482</v>
      </c>
      <c r="U34" s="184">
        <f>IFERROR(R34-VLOOKUP(D34,'미니게임_DATA(순)'!$A:$FB,MATCH("rct 20g avg",'미니게임_DATA(순)'!$A$3:$FB$3,0),0),0)</f>
        <v>0</v>
      </c>
      <c r="W34" s="185">
        <f t="shared" ref="W34:W36" si="23">MAX(E34,I34,M34)</f>
        <v>0</v>
      </c>
      <c r="X34" s="267">
        <f>R34</f>
        <v>0</v>
      </c>
      <c r="Y34" s="267" t="str">
        <f>IFERROR(VLOOKUP(Z34,'미니게임_DATA(순)'!$A$4:$C$45,3,0),"-")</f>
        <v>-</v>
      </c>
      <c r="Z34" s="187">
        <f t="shared" ref="Z34:Z37" si="24">D34</f>
        <v>0</v>
      </c>
    </row>
    <row r="35" spans="2:28" s="172" customFormat="1">
      <c r="B35" s="169"/>
      <c r="C35" s="538"/>
      <c r="D35" s="188"/>
      <c r="E35" s="275">
        <f>IFERROR(VLOOKUP(D35,'미니게임_DATA(순)'!$A$4:$EV$60,142,0),0)</f>
        <v>0</v>
      </c>
      <c r="F35" s="275"/>
      <c r="G35" s="527"/>
      <c r="H35" s="527"/>
      <c r="I35" s="275">
        <f>IFERROR(VLOOKUP(D35,'미니게임_DATA(순)'!$A$4:$EV$60,143,0),0)</f>
        <v>0</v>
      </c>
      <c r="J35" s="275"/>
      <c r="K35" s="527"/>
      <c r="L35" s="527"/>
      <c r="M35" s="275">
        <f>IFERROR(VLOOKUP(D35,'미니게임_DATA(순)'!$A$4:$EV$60,144,0),0)</f>
        <v>0</v>
      </c>
      <c r="N35" s="275"/>
      <c r="O35" s="527"/>
      <c r="P35" s="527"/>
      <c r="Q35" s="275">
        <f t="shared" si="0"/>
        <v>0</v>
      </c>
      <c r="R35" s="300">
        <f t="shared" ref="R35" si="25">AVERAGE(E35,I35,M35)</f>
        <v>0</v>
      </c>
      <c r="S35" s="530"/>
      <c r="T35" s="533"/>
      <c r="U35" s="190">
        <f>IFERROR(R35-VLOOKUP(D35,'미니게임_DATA(순)'!$A:$FB,MATCH("rct 20g avg",'미니게임_DATA(순)'!$A$3:$FB$3,0),0),0)</f>
        <v>0</v>
      </c>
      <c r="W35" s="185">
        <f t="shared" si="23"/>
        <v>0</v>
      </c>
      <c r="X35" s="267">
        <f>R35</f>
        <v>0</v>
      </c>
      <c r="Y35" s="267" t="str">
        <f>IFERROR(VLOOKUP(Z35,'미니게임_DATA(순)'!$A$4:$C$45,3,0),"-")</f>
        <v>-</v>
      </c>
      <c r="Z35" s="187">
        <f t="shared" si="24"/>
        <v>0</v>
      </c>
      <c r="AA35" s="169"/>
      <c r="AB35" s="169"/>
    </row>
    <row r="36" spans="2:28" s="172" customFormat="1">
      <c r="B36" s="169"/>
      <c r="C36" s="538"/>
      <c r="D36" s="188"/>
      <c r="E36" s="275">
        <f>IFERROR(VLOOKUP(D36,'미니게임_DATA(순)'!$A$4:$EV$60,148,0),0)</f>
        <v>0</v>
      </c>
      <c r="F36" s="275"/>
      <c r="G36" s="527"/>
      <c r="H36" s="527"/>
      <c r="I36" s="275">
        <f>IFERROR(VLOOKUP(D36,'미니게임_DATA(순)'!$A$4:$EV$60,146,0),0)</f>
        <v>0</v>
      </c>
      <c r="J36" s="275"/>
      <c r="K36" s="527"/>
      <c r="L36" s="527"/>
      <c r="M36" s="275">
        <f>IFERROR(VLOOKUP(D36,'미니게임_DATA(순)'!$A$4:$EV$60,144,0),0)</f>
        <v>0</v>
      </c>
      <c r="N36" s="275"/>
      <c r="O36" s="527"/>
      <c r="P36" s="527"/>
      <c r="Q36" s="275">
        <f t="shared" si="0"/>
        <v>0</v>
      </c>
      <c r="R36" s="276">
        <f t="shared" ref="R36:R37" si="26">Q36/3</f>
        <v>0</v>
      </c>
      <c r="S36" s="530"/>
      <c r="T36" s="533"/>
      <c r="U36" s="190">
        <f>IFERROR(R36-VLOOKUP(D36,'미니게임_DATA(순)'!$A:$FB,MATCH("rct 20g avg",'미니게임_DATA(순)'!$A$3:$FB$3,0),0),0)</f>
        <v>0</v>
      </c>
      <c r="W36" s="185">
        <f t="shared" si="23"/>
        <v>0</v>
      </c>
      <c r="X36" s="267">
        <f>R36</f>
        <v>0</v>
      </c>
      <c r="Y36" s="267" t="str">
        <f>IFERROR(VLOOKUP(Z36,'미니게임_DATA(순)'!$A$4:$C$45,3,0),"-")</f>
        <v>-</v>
      </c>
      <c r="Z36" s="187">
        <f t="shared" si="24"/>
        <v>0</v>
      </c>
      <c r="AA36" s="169"/>
      <c r="AB36" s="169"/>
    </row>
    <row r="37" spans="2:28">
      <c r="C37" s="538"/>
      <c r="D37" s="188"/>
      <c r="E37" s="279"/>
      <c r="F37" s="279"/>
      <c r="G37" s="527"/>
      <c r="H37" s="527"/>
      <c r="I37" s="279"/>
      <c r="J37" s="279"/>
      <c r="K37" s="527"/>
      <c r="L37" s="527"/>
      <c r="M37" s="279"/>
      <c r="N37" s="279"/>
      <c r="O37" s="527"/>
      <c r="P37" s="527"/>
      <c r="Q37" s="279">
        <f t="shared" si="0"/>
        <v>0</v>
      </c>
      <c r="R37" s="276">
        <f t="shared" si="26"/>
        <v>0</v>
      </c>
      <c r="S37" s="530"/>
      <c r="T37" s="533"/>
      <c r="U37" s="190">
        <f>IFERROR(R37-VLOOKUP(D37,'미니게임_DATA(순)'!$A:$FB,MATCH("rct 20g avg",'미니게임_DATA(순)'!$A$3:$FB$3,0),0),0)</f>
        <v>0</v>
      </c>
      <c r="W37" s="185"/>
      <c r="Y37" s="267" t="str">
        <f>IFERROR(VLOOKUP(Z37,'미니게임_DATA(순)'!$A$4:$C$45,3,0),"-")</f>
        <v>-</v>
      </c>
      <c r="Z37" s="187">
        <f t="shared" si="24"/>
        <v>0</v>
      </c>
    </row>
    <row r="38" spans="2:28" ht="16.5">
      <c r="C38" s="539"/>
      <c r="D38" s="466"/>
      <c r="E38" s="535">
        <f>SUMIF(E34:F36, "&gt;0")</f>
        <v>0</v>
      </c>
      <c r="F38" s="498"/>
      <c r="G38" s="528"/>
      <c r="H38" s="528"/>
      <c r="I38" s="535">
        <f>SUMIF(I34:J36, "&gt;0")</f>
        <v>0</v>
      </c>
      <c r="J38" s="498"/>
      <c r="K38" s="528"/>
      <c r="L38" s="528"/>
      <c r="M38" s="535">
        <f>SUMIF(M34:N36, "&gt;0")</f>
        <v>0</v>
      </c>
      <c r="N38" s="536"/>
      <c r="O38" s="528"/>
      <c r="P38" s="528"/>
      <c r="Q38" s="272">
        <f t="shared" si="0"/>
        <v>0</v>
      </c>
      <c r="R38" s="196"/>
      <c r="S38" s="531"/>
      <c r="T38" s="534"/>
      <c r="U38" s="277">
        <f>IFERROR(R38-VLOOKUP(D38,'미니게임_DATA(순)'!$A:$FB,MATCH("rct 20g avg",'미니게임_DATA(순)'!$A$3:$FB$3,0),0),0)</f>
        <v>0</v>
      </c>
      <c r="V38" s="185"/>
      <c r="W38" s="185"/>
      <c r="Y38" s="267" t="str">
        <f>IFERROR(VLOOKUP(Z38,'미니게임_DATA(순)'!$A$4:$C$45,3,0),"-")</f>
        <v>-</v>
      </c>
      <c r="Z38" s="187">
        <f>D38</f>
        <v>0</v>
      </c>
      <c r="AA38" s="187">
        <f>SUM(E38,I38)</f>
        <v>0</v>
      </c>
    </row>
    <row r="39" spans="2:28">
      <c r="C39" s="537" t="s">
        <v>373</v>
      </c>
      <c r="D39" s="180"/>
      <c r="E39" s="275">
        <f>IFERROR(VLOOKUP(D39,'미니게임_DATA(순)'!$A$4:$EV$50,124,0),0)</f>
        <v>0</v>
      </c>
      <c r="F39" s="273"/>
      <c r="G39" s="526">
        <f>RANK(E43,($E$18,$E$23,$E$28,$E$33,E$38,$E$43))</f>
        <v>5</v>
      </c>
      <c r="H39" s="526">
        <f t="shared" ref="H39" si="27">G39</f>
        <v>5</v>
      </c>
      <c r="I39" s="275">
        <f>IFERROR(VLOOKUP(D39,'미니게임_DATA(순)'!$A$4:$EV$50,125,0),0)</f>
        <v>0</v>
      </c>
      <c r="J39" s="273"/>
      <c r="K39" s="526">
        <f>RANK(I43,($I$18,$I$23,$I$28,$I$33,I$38,$I$43))</f>
        <v>5</v>
      </c>
      <c r="L39" s="526">
        <f>RANK(AA43,($AA$18,$AA$23,$AA$28,$AA$33,$AA$38,$AA$43))</f>
        <v>5</v>
      </c>
      <c r="M39" s="275">
        <f>IFERROR(VLOOKUP(D39,'미니게임_DATA(순)'!$A$4:$EV$50,126,0),0)</f>
        <v>0</v>
      </c>
      <c r="N39" s="273"/>
      <c r="O39" s="526">
        <f>RANK(M43,($M$18,$M$23,$M$28,$M$33,$M$38,$M$43))</f>
        <v>5</v>
      </c>
      <c r="P39" s="526">
        <f t="shared" ref="P39" si="28">S39</f>
        <v>5</v>
      </c>
      <c r="Q39" s="273">
        <f t="shared" si="0"/>
        <v>0</v>
      </c>
      <c r="R39" s="274">
        <f>AVERAGE(E39,I39,M39)</f>
        <v>0</v>
      </c>
      <c r="S39" s="529">
        <f>RANK(Q43,($Q$18,$Q$23,$Q$28,$Q$33,$Q$38,$Q$43))</f>
        <v>5</v>
      </c>
      <c r="T39" s="532">
        <f>MAX($Q$18,$Q$23,Q$28,Q$33,Q$38)-Q43</f>
        <v>1482</v>
      </c>
      <c r="U39" s="184">
        <f>IFERROR(R39-VLOOKUP(D39,'미니게임_DATA(순)'!$A:$FB,MATCH("rct 20g avg",'미니게임_DATA(순)'!$A$3:$FB$3,0),0),0)</f>
        <v>0</v>
      </c>
      <c r="W39" s="185">
        <f t="shared" ref="W39:W41" si="29">MAX(E39,I39,M39)</f>
        <v>0</v>
      </c>
      <c r="X39" s="267">
        <f>R39</f>
        <v>0</v>
      </c>
      <c r="Y39" s="267" t="str">
        <f>IFERROR(VLOOKUP(Z39,'미니게임_DATA(순)'!$A$4:$C$45,3,0),"-")</f>
        <v>-</v>
      </c>
      <c r="Z39" s="187">
        <f t="shared" ref="Z39:Z42" si="30">D39</f>
        <v>0</v>
      </c>
    </row>
    <row r="40" spans="2:28">
      <c r="C40" s="538"/>
      <c r="D40" s="188"/>
      <c r="E40" s="275">
        <f>IFERROR(VLOOKUP(D40,'미니게임_DATA(순)'!$A$4:$EV$50,124,0),0)</f>
        <v>0</v>
      </c>
      <c r="F40" s="275"/>
      <c r="G40" s="527"/>
      <c r="H40" s="527"/>
      <c r="I40" s="275">
        <f>IFERROR(VLOOKUP(D40,'미니게임_DATA(순)'!$A$4:$EV$50,125,0),0)</f>
        <v>0</v>
      </c>
      <c r="J40" s="275"/>
      <c r="K40" s="527"/>
      <c r="L40" s="527"/>
      <c r="M40" s="275">
        <f>IFERROR(VLOOKUP(D40,'미니게임_DATA(순)'!$A$4:$EV$50,126,0),0)</f>
        <v>0</v>
      </c>
      <c r="N40" s="275"/>
      <c r="O40" s="527"/>
      <c r="P40" s="527"/>
      <c r="Q40" s="275">
        <f t="shared" si="0"/>
        <v>0</v>
      </c>
      <c r="R40" s="300">
        <f t="shared" ref="R40" si="31">AVERAGE(E40,I40,M40)</f>
        <v>0</v>
      </c>
      <c r="S40" s="530"/>
      <c r="T40" s="533"/>
      <c r="U40" s="190">
        <f>IFERROR(R40-VLOOKUP(D40,'미니게임_DATA(순)'!$A:$FB,MATCH("rct 20g avg",'미니게임_DATA(순)'!$A$3:$FB$3,0),0),0)</f>
        <v>0</v>
      </c>
      <c r="W40" s="185">
        <f t="shared" si="29"/>
        <v>0</v>
      </c>
      <c r="X40" s="267">
        <f>R40</f>
        <v>0</v>
      </c>
      <c r="Y40" s="267" t="str">
        <f>IFERROR(VLOOKUP(Z40,'미니게임_DATA(순)'!$A$4:$C$45,3,0),"-")</f>
        <v>-</v>
      </c>
      <c r="Z40" s="187">
        <f t="shared" si="30"/>
        <v>0</v>
      </c>
    </row>
    <row r="41" spans="2:28">
      <c r="C41" s="538"/>
      <c r="D41" s="188"/>
      <c r="E41" s="275">
        <f>IFERROR(VLOOKUP(D41,'미니게임_DATA(순)'!$A$4:$EV$50,124,0),0)</f>
        <v>0</v>
      </c>
      <c r="F41" s="275"/>
      <c r="G41" s="527"/>
      <c r="H41" s="527"/>
      <c r="I41" s="275">
        <f>IFERROR(VLOOKUP(D41,'미니게임_DATA(순)'!$A$4:$EV$50,125,0),0)</f>
        <v>0</v>
      </c>
      <c r="J41" s="275"/>
      <c r="K41" s="527"/>
      <c r="L41" s="527"/>
      <c r="M41" s="275">
        <f>IFERROR(VLOOKUP(D41,'미니게임_DATA(순)'!$A$4:$EV$50,126,0),0)</f>
        <v>0</v>
      </c>
      <c r="N41" s="275"/>
      <c r="O41" s="527"/>
      <c r="P41" s="527"/>
      <c r="Q41" s="275">
        <f t="shared" si="0"/>
        <v>0</v>
      </c>
      <c r="R41" s="276">
        <f t="shared" ref="R41:R42" si="32">Q41/3</f>
        <v>0</v>
      </c>
      <c r="S41" s="530"/>
      <c r="T41" s="533"/>
      <c r="U41" s="190">
        <f>IFERROR(R41-VLOOKUP(D41,'미니게임_DATA(순)'!$A:$FB,MATCH("rct 20g avg",'미니게임_DATA(순)'!$A$3:$FB$3,0),0),0)</f>
        <v>0</v>
      </c>
      <c r="W41" s="185">
        <f t="shared" si="29"/>
        <v>0</v>
      </c>
      <c r="X41" s="267">
        <f>R41</f>
        <v>0</v>
      </c>
      <c r="Y41" s="267" t="str">
        <f>IFERROR(VLOOKUP(Z41,'미니게임_DATA(순)'!$A$4:$C$45,3,0),"-")</f>
        <v>-</v>
      </c>
      <c r="Z41" s="187">
        <f t="shared" si="30"/>
        <v>0</v>
      </c>
    </row>
    <row r="42" spans="2:28">
      <c r="C42" s="538"/>
      <c r="D42" s="188"/>
      <c r="E42" s="279"/>
      <c r="F42" s="279"/>
      <c r="G42" s="527"/>
      <c r="H42" s="527"/>
      <c r="I42" s="279"/>
      <c r="J42" s="279"/>
      <c r="K42" s="527"/>
      <c r="L42" s="527"/>
      <c r="M42" s="279"/>
      <c r="N42" s="279"/>
      <c r="O42" s="527"/>
      <c r="P42" s="527"/>
      <c r="Q42" s="279">
        <f t="shared" si="0"/>
        <v>0</v>
      </c>
      <c r="R42" s="276">
        <f t="shared" si="32"/>
        <v>0</v>
      </c>
      <c r="S42" s="530"/>
      <c r="T42" s="533"/>
      <c r="U42" s="190">
        <f>IFERROR(R42-VLOOKUP(D42,'미니게임_DATA(순)'!$A:$FB,MATCH("rct 20g avg",'미니게임_DATA(순)'!$A$3:$FB$3,0),0),0)</f>
        <v>0</v>
      </c>
      <c r="W42" s="185"/>
      <c r="Y42" s="267" t="str">
        <f>IFERROR(VLOOKUP(Z42,'미니게임_DATA(순)'!$A$4:$C$45,3,0),"-")</f>
        <v>-</v>
      </c>
      <c r="Z42" s="187">
        <f t="shared" si="30"/>
        <v>0</v>
      </c>
    </row>
    <row r="43" spans="2:28" ht="16.5">
      <c r="C43" s="539"/>
      <c r="D43" s="466"/>
      <c r="E43" s="535">
        <f>SUMIF(E39:F41, "&gt;0")</f>
        <v>0</v>
      </c>
      <c r="F43" s="498"/>
      <c r="G43" s="528"/>
      <c r="H43" s="528"/>
      <c r="I43" s="535">
        <f>SUMIF(I39:J41, "&gt;0")</f>
        <v>0</v>
      </c>
      <c r="J43" s="498"/>
      <c r="K43" s="528"/>
      <c r="L43" s="528"/>
      <c r="M43" s="535">
        <f>SUMIF(M39:N41, "&gt;0")</f>
        <v>0</v>
      </c>
      <c r="N43" s="536"/>
      <c r="O43" s="528"/>
      <c r="P43" s="528"/>
      <c r="Q43" s="272">
        <f t="shared" si="0"/>
        <v>0</v>
      </c>
      <c r="R43" s="196"/>
      <c r="S43" s="531"/>
      <c r="T43" s="534"/>
      <c r="U43" s="277">
        <f>IFERROR(R43-VLOOKUP(D43,'미니게임_DATA(순)'!$A:$FB,MATCH("rct 20g avg",'미니게임_DATA(순)'!$A$3:$FB$3,0),0),0)</f>
        <v>0</v>
      </c>
      <c r="W43" s="185"/>
      <c r="Y43" s="267" t="str">
        <f>IFERROR(VLOOKUP(Z43,'미니게임_DATA(순)'!$A$4:$C$45,3,0),"-")</f>
        <v>-</v>
      </c>
      <c r="Z43" s="187">
        <f>D43</f>
        <v>0</v>
      </c>
      <c r="AA43" s="187">
        <f>SUM(E43,I43)</f>
        <v>0</v>
      </c>
    </row>
  </sheetData>
  <mergeCells count="89">
    <mergeCell ref="P39:P43"/>
    <mergeCell ref="S39:S43"/>
    <mergeCell ref="T39:T43"/>
    <mergeCell ref="E43:F43"/>
    <mergeCell ref="I43:J43"/>
    <mergeCell ref="M43:N43"/>
    <mergeCell ref="C39:C43"/>
    <mergeCell ref="G39:G43"/>
    <mergeCell ref="H39:H43"/>
    <mergeCell ref="K39:K43"/>
    <mergeCell ref="L39:L43"/>
    <mergeCell ref="O39:O43"/>
    <mergeCell ref="P34:P38"/>
    <mergeCell ref="S34:S38"/>
    <mergeCell ref="T34:T38"/>
    <mergeCell ref="E38:F38"/>
    <mergeCell ref="I38:J38"/>
    <mergeCell ref="M38:N38"/>
    <mergeCell ref="C34:C38"/>
    <mergeCell ref="G34:G38"/>
    <mergeCell ref="H34:H38"/>
    <mergeCell ref="K34:K38"/>
    <mergeCell ref="L34:L38"/>
    <mergeCell ref="O34:O38"/>
    <mergeCell ref="P29:P33"/>
    <mergeCell ref="S29:S33"/>
    <mergeCell ref="T29:T33"/>
    <mergeCell ref="E33:F33"/>
    <mergeCell ref="I33:J33"/>
    <mergeCell ref="M33:N33"/>
    <mergeCell ref="C29:C33"/>
    <mergeCell ref="G29:G33"/>
    <mergeCell ref="H29:H33"/>
    <mergeCell ref="K29:K33"/>
    <mergeCell ref="L29:L33"/>
    <mergeCell ref="O29:O33"/>
    <mergeCell ref="P24:P28"/>
    <mergeCell ref="S24:S28"/>
    <mergeCell ref="T24:T28"/>
    <mergeCell ref="E28:F28"/>
    <mergeCell ref="I28:J28"/>
    <mergeCell ref="M28:N28"/>
    <mergeCell ref="C24:C28"/>
    <mergeCell ref="G24:G28"/>
    <mergeCell ref="H24:H28"/>
    <mergeCell ref="K24:K28"/>
    <mergeCell ref="L24:L28"/>
    <mergeCell ref="O24:O28"/>
    <mergeCell ref="P19:P23"/>
    <mergeCell ref="S19:S23"/>
    <mergeCell ref="T19:T23"/>
    <mergeCell ref="E23:F23"/>
    <mergeCell ref="I23:J23"/>
    <mergeCell ref="M23:N23"/>
    <mergeCell ref="C19:C23"/>
    <mergeCell ref="G19:G23"/>
    <mergeCell ref="H19:H23"/>
    <mergeCell ref="K19:K23"/>
    <mergeCell ref="L19:L23"/>
    <mergeCell ref="O19:O23"/>
    <mergeCell ref="P14:P18"/>
    <mergeCell ref="S14:S18"/>
    <mergeCell ref="T14:T18"/>
    <mergeCell ref="E18:F18"/>
    <mergeCell ref="I18:J18"/>
    <mergeCell ref="M18:N18"/>
    <mergeCell ref="U11:U13"/>
    <mergeCell ref="E12:H12"/>
    <mergeCell ref="I12:L12"/>
    <mergeCell ref="M12:P12"/>
    <mergeCell ref="C14:C18"/>
    <mergeCell ref="G14:G18"/>
    <mergeCell ref="H14:H18"/>
    <mergeCell ref="K14:K18"/>
    <mergeCell ref="L14:L18"/>
    <mergeCell ref="O14:O18"/>
    <mergeCell ref="C11:C13"/>
    <mergeCell ref="D11:D13"/>
    <mergeCell ref="E11:P11"/>
    <mergeCell ref="Q11:Q13"/>
    <mergeCell ref="R11:R13"/>
    <mergeCell ref="S11:T12"/>
    <mergeCell ref="B2:B3"/>
    <mergeCell ref="B4:B5"/>
    <mergeCell ref="B6:B9"/>
    <mergeCell ref="D6:E6"/>
    <mergeCell ref="D7:E7"/>
    <mergeCell ref="D8:E8"/>
    <mergeCell ref="D9:E9"/>
  </mergeCells>
  <phoneticPr fontId="2" type="noConversion"/>
  <conditionalFormatting sqref="G44:H1048576 O44:P1048576 K44:L1048576 O12:P13 G1:H13 K1:L13 O1:P10">
    <cfRule type="cellIs" dxfId="50" priority="51" operator="equal">
      <formula>1</formula>
    </cfRule>
  </conditionalFormatting>
  <conditionalFormatting sqref="P14:P33">
    <cfRule type="cellIs" dxfId="49" priority="49" operator="equal">
      <formula>1</formula>
    </cfRule>
  </conditionalFormatting>
  <conditionalFormatting sqref="G14:H14 H15:H33">
    <cfRule type="cellIs" dxfId="48" priority="50" operator="equal">
      <formula>1</formula>
    </cfRule>
  </conditionalFormatting>
  <conditionalFormatting sqref="K14:L14 L15:L18">
    <cfRule type="cellIs" dxfId="47" priority="48" operator="equal">
      <formula>1</formula>
    </cfRule>
  </conditionalFormatting>
  <conditionalFormatting sqref="O14">
    <cfRule type="cellIs" dxfId="46" priority="47" operator="equal">
      <formula>1</formula>
    </cfRule>
  </conditionalFormatting>
  <conditionalFormatting sqref="R5">
    <cfRule type="cellIs" dxfId="45" priority="46" operator="greaterThan">
      <formula>200</formula>
    </cfRule>
  </conditionalFormatting>
  <conditionalFormatting sqref="E2:E5">
    <cfRule type="cellIs" dxfId="44" priority="45" operator="greaterThan">
      <formula>199.5</formula>
    </cfRule>
  </conditionalFormatting>
  <conditionalFormatting sqref="E14:E17 E19:E22 E24:E27 E29:E31 I14:I17 I19:I22 I24:I27 I29:I32 M14:M17 M19:M22 M24:M27 M29:M32">
    <cfRule type="cellIs" dxfId="0" priority="44" operator="greaterThan">
      <formula>199.5</formula>
    </cfRule>
  </conditionalFormatting>
  <conditionalFormatting sqref="H34:H38">
    <cfRule type="cellIs" dxfId="43" priority="43" operator="equal">
      <formula>1</formula>
    </cfRule>
  </conditionalFormatting>
  <conditionalFormatting sqref="P34:P38">
    <cfRule type="cellIs" dxfId="42" priority="42" operator="equal">
      <formula>1</formula>
    </cfRule>
  </conditionalFormatting>
  <conditionalFormatting sqref="P39:P43">
    <cfRule type="cellIs" dxfId="41" priority="41" operator="equal">
      <formula>1</formula>
    </cfRule>
  </conditionalFormatting>
  <conditionalFormatting sqref="H39:H43">
    <cfRule type="cellIs" dxfId="40" priority="40" operator="equal">
      <formula>1</formula>
    </cfRule>
  </conditionalFormatting>
  <conditionalFormatting sqref="G19">
    <cfRule type="cellIs" dxfId="39" priority="39" operator="equal">
      <formula>1</formula>
    </cfRule>
  </conditionalFormatting>
  <conditionalFormatting sqref="G24">
    <cfRule type="cellIs" dxfId="38" priority="38" operator="equal">
      <formula>1</formula>
    </cfRule>
  </conditionalFormatting>
  <conditionalFormatting sqref="G29">
    <cfRule type="cellIs" dxfId="37" priority="37" operator="equal">
      <formula>1</formula>
    </cfRule>
  </conditionalFormatting>
  <conditionalFormatting sqref="G34">
    <cfRule type="cellIs" dxfId="36" priority="36" operator="equal">
      <formula>1</formula>
    </cfRule>
  </conditionalFormatting>
  <conditionalFormatting sqref="G39">
    <cfRule type="cellIs" dxfId="35" priority="35" operator="equal">
      <formula>1</formula>
    </cfRule>
  </conditionalFormatting>
  <conditionalFormatting sqref="K19">
    <cfRule type="cellIs" dxfId="34" priority="34" operator="equal">
      <formula>1</formula>
    </cfRule>
  </conditionalFormatting>
  <conditionalFormatting sqref="K24">
    <cfRule type="cellIs" dxfId="33" priority="33" operator="equal">
      <formula>1</formula>
    </cfRule>
  </conditionalFormatting>
  <conditionalFormatting sqref="K29">
    <cfRule type="cellIs" dxfId="32" priority="32" operator="equal">
      <formula>1</formula>
    </cfRule>
  </conditionalFormatting>
  <conditionalFormatting sqref="K34">
    <cfRule type="cellIs" dxfId="31" priority="31" operator="equal">
      <formula>1</formula>
    </cfRule>
  </conditionalFormatting>
  <conditionalFormatting sqref="K39">
    <cfRule type="cellIs" dxfId="30" priority="30" operator="equal">
      <formula>1</formula>
    </cfRule>
  </conditionalFormatting>
  <conditionalFormatting sqref="L19:L23">
    <cfRule type="cellIs" dxfId="29" priority="29" operator="equal">
      <formula>1</formula>
    </cfRule>
  </conditionalFormatting>
  <conditionalFormatting sqref="L24:L28">
    <cfRule type="cellIs" dxfId="28" priority="28" operator="equal">
      <formula>1</formula>
    </cfRule>
  </conditionalFormatting>
  <conditionalFormatting sqref="L29:L33">
    <cfRule type="cellIs" dxfId="27" priority="27" operator="equal">
      <formula>1</formula>
    </cfRule>
  </conditionalFormatting>
  <conditionalFormatting sqref="L34:L38">
    <cfRule type="cellIs" dxfId="26" priority="26" operator="equal">
      <formula>1</formula>
    </cfRule>
  </conditionalFormatting>
  <conditionalFormatting sqref="L39:L43">
    <cfRule type="cellIs" dxfId="25" priority="25" operator="equal">
      <formula>1</formula>
    </cfRule>
  </conditionalFormatting>
  <conditionalFormatting sqref="O19">
    <cfRule type="cellIs" dxfId="24" priority="24" operator="equal">
      <formula>1</formula>
    </cfRule>
  </conditionalFormatting>
  <conditionalFormatting sqref="O24">
    <cfRule type="cellIs" dxfId="23" priority="23" operator="equal">
      <formula>1</formula>
    </cfRule>
  </conditionalFormatting>
  <conditionalFormatting sqref="O29">
    <cfRule type="cellIs" dxfId="22" priority="22" operator="equal">
      <formula>1</formula>
    </cfRule>
  </conditionalFormatting>
  <conditionalFormatting sqref="O34">
    <cfRule type="cellIs" dxfId="21" priority="21" operator="equal">
      <formula>1</formula>
    </cfRule>
  </conditionalFormatting>
  <conditionalFormatting sqref="O39">
    <cfRule type="cellIs" dxfId="20" priority="20" operator="equal">
      <formula>1</formula>
    </cfRule>
  </conditionalFormatting>
  <conditionalFormatting sqref="E39">
    <cfRule type="cellIs" dxfId="19" priority="19" operator="greaterThan">
      <formula>199.5</formula>
    </cfRule>
  </conditionalFormatting>
  <conditionalFormatting sqref="E40">
    <cfRule type="cellIs" dxfId="18" priority="18" operator="greaterThan">
      <formula>199.5</formula>
    </cfRule>
  </conditionalFormatting>
  <conditionalFormatting sqref="E41">
    <cfRule type="cellIs" dxfId="17" priority="17" operator="greaterThan">
      <formula>199.5</formula>
    </cfRule>
  </conditionalFormatting>
  <conditionalFormatting sqref="I41">
    <cfRule type="cellIs" dxfId="16" priority="14" operator="greaterThan">
      <formula>199.5</formula>
    </cfRule>
  </conditionalFormatting>
  <conditionalFormatting sqref="I39">
    <cfRule type="cellIs" dxfId="15" priority="16" operator="greaterThan">
      <formula>199.5</formula>
    </cfRule>
  </conditionalFormatting>
  <conditionalFormatting sqref="I40">
    <cfRule type="cellIs" dxfId="14" priority="15" operator="greaterThan">
      <formula>199.5</formula>
    </cfRule>
  </conditionalFormatting>
  <conditionalFormatting sqref="M39">
    <cfRule type="cellIs" dxfId="13" priority="13" operator="greaterThan">
      <formula>199.5</formula>
    </cfRule>
  </conditionalFormatting>
  <conditionalFormatting sqref="M40">
    <cfRule type="cellIs" dxfId="12" priority="12" operator="greaterThan">
      <formula>199.5</formula>
    </cfRule>
  </conditionalFormatting>
  <conditionalFormatting sqref="M41">
    <cfRule type="cellIs" dxfId="11" priority="11" operator="greaterThan">
      <formula>199.5</formula>
    </cfRule>
  </conditionalFormatting>
  <conditionalFormatting sqref="E35">
    <cfRule type="cellIs" dxfId="9" priority="9" operator="greaterThan">
      <formula>199.5</formula>
    </cfRule>
  </conditionalFormatting>
  <conditionalFormatting sqref="E34">
    <cfRule type="cellIs" dxfId="8" priority="8" operator="greaterThan">
      <formula>199.5</formula>
    </cfRule>
  </conditionalFormatting>
  <conditionalFormatting sqref="I34">
    <cfRule type="cellIs" dxfId="7" priority="7" operator="greaterThan">
      <formula>199.5</formula>
    </cfRule>
  </conditionalFormatting>
  <conditionalFormatting sqref="I35">
    <cfRule type="cellIs" dxfId="6" priority="6" operator="greaterThan">
      <formula>199.5</formula>
    </cfRule>
  </conditionalFormatting>
  <conditionalFormatting sqref="M34">
    <cfRule type="cellIs" dxfId="5" priority="5" operator="greaterThan">
      <formula>199.5</formula>
    </cfRule>
  </conditionalFormatting>
  <conditionalFormatting sqref="M35">
    <cfRule type="cellIs" dxfId="4" priority="4" operator="greaterThan">
      <formula>199.5</formula>
    </cfRule>
  </conditionalFormatting>
  <conditionalFormatting sqref="M36">
    <cfRule type="cellIs" dxfId="3" priority="3" operator="greaterThan">
      <formula>199.5</formula>
    </cfRule>
  </conditionalFormatting>
  <conditionalFormatting sqref="I36">
    <cfRule type="cellIs" dxfId="2" priority="2" operator="greaterThan">
      <formula>199.5</formula>
    </cfRule>
  </conditionalFormatting>
  <conditionalFormatting sqref="E36">
    <cfRule type="cellIs" dxfId="1" priority="1" operator="greaterThan">
      <formula>199.5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43"/>
  <sheetViews>
    <sheetView showGridLines="0" zoomScale="85" zoomScaleNormal="85" workbookViewId="0">
      <selection activeCell="AD30" sqref="AD30"/>
    </sheetView>
  </sheetViews>
  <sheetFormatPr defaultColWidth="9" defaultRowHeight="13.5"/>
  <cols>
    <col min="1" max="5" width="9" style="169"/>
    <col min="6" max="8" width="5.375" style="169" customWidth="1"/>
    <col min="9" max="9" width="9" style="169"/>
    <col min="10" max="12" width="5.375" style="169" customWidth="1"/>
    <col min="13" max="13" width="9" style="169"/>
    <col min="14" max="16" width="5.375" style="169" customWidth="1"/>
    <col min="17" max="17" width="7.375" style="170" customWidth="1"/>
    <col min="18" max="18" width="7.375" style="171" customWidth="1"/>
    <col min="19" max="20" width="7.375" style="169" customWidth="1"/>
    <col min="21" max="21" width="9" style="169"/>
    <col min="22" max="23" width="9" style="172" hidden="1" customWidth="1"/>
    <col min="24" max="25" width="9" style="267" hidden="1" customWidth="1"/>
    <col min="26" max="27" width="9" style="169" hidden="1" customWidth="1"/>
    <col min="28" max="29" width="9" style="169" customWidth="1"/>
    <col min="30" max="16384" width="9" style="169"/>
  </cols>
  <sheetData>
    <row r="2" spans="2:35">
      <c r="B2" s="550" t="s">
        <v>154</v>
      </c>
      <c r="C2" s="166" t="s">
        <v>156</v>
      </c>
      <c r="D2" s="167" t="str">
        <f>VLOOKUP(E2,W14:Z31,4,0)</f>
        <v>김신철</v>
      </c>
      <c r="E2" s="198">
        <f t="array" ref="E2">MAX(IF(Y14:Y38="남",W14:W38))</f>
        <v>190</v>
      </c>
      <c r="F2" s="268"/>
    </row>
    <row r="3" spans="2:35">
      <c r="B3" s="551"/>
      <c r="C3" s="166" t="s">
        <v>157</v>
      </c>
      <c r="D3" s="167" t="str">
        <f>VLOOKUP(E3,W15:Z38,4,0)</f>
        <v>손하은</v>
      </c>
      <c r="E3" s="198">
        <f t="array" ref="E3">MAX(IF(Y15:Y39="여",W15:W39))</f>
        <v>197</v>
      </c>
      <c r="F3" s="268"/>
    </row>
    <row r="4" spans="2:35">
      <c r="B4" s="550" t="s">
        <v>158</v>
      </c>
      <c r="C4" s="166" t="s">
        <v>156</v>
      </c>
      <c r="D4" s="167" t="str">
        <f>VLOOKUP(E4,X14:Z38,3,0)</f>
        <v>정동현</v>
      </c>
      <c r="E4" s="168">
        <f t="array" ref="E4">MAX(IF(Y14:Y38="남",X14:X38))</f>
        <v>172.33333333333334</v>
      </c>
      <c r="F4" s="268"/>
    </row>
    <row r="5" spans="2:35">
      <c r="B5" s="551"/>
      <c r="C5" s="166" t="s">
        <v>157</v>
      </c>
      <c r="D5" s="167" t="str">
        <f>VLOOKUP(E5,X15:Z39,3,0)</f>
        <v>손하은</v>
      </c>
      <c r="E5" s="168">
        <f t="array" ref="E5">MAX(IF(Y14:Y38="여",X14:X38))</f>
        <v>159.66666666666666</v>
      </c>
      <c r="F5" s="268"/>
    </row>
    <row r="6" spans="2:35" ht="16.5">
      <c r="B6" s="550" t="s">
        <v>224</v>
      </c>
      <c r="C6" s="235" t="s">
        <v>154</v>
      </c>
      <c r="D6" s="554"/>
      <c r="E6" s="472"/>
      <c r="F6" s="269"/>
    </row>
    <row r="7" spans="2:35" ht="16.5">
      <c r="B7" s="552"/>
      <c r="C7" s="235" t="s">
        <v>226</v>
      </c>
      <c r="D7" s="554"/>
      <c r="E7" s="472"/>
      <c r="F7" s="269"/>
    </row>
    <row r="8" spans="2:35" ht="16.5">
      <c r="B8" s="552"/>
      <c r="C8" s="235" t="s">
        <v>88</v>
      </c>
      <c r="D8" s="554"/>
      <c r="E8" s="498"/>
      <c r="F8" s="270"/>
    </row>
    <row r="9" spans="2:35" ht="16.5">
      <c r="B9" s="553"/>
      <c r="C9" s="235" t="s">
        <v>227</v>
      </c>
      <c r="D9" s="554"/>
      <c r="E9" s="472"/>
      <c r="F9" s="269"/>
      <c r="G9" s="386"/>
    </row>
    <row r="11" spans="2:35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545"/>
      <c r="M11" s="545"/>
      <c r="N11" s="546"/>
      <c r="O11" s="546"/>
      <c r="P11" s="496"/>
      <c r="Q11" s="547" t="s">
        <v>142</v>
      </c>
      <c r="R11" s="548" t="s">
        <v>184</v>
      </c>
      <c r="S11" s="542" t="s">
        <v>169</v>
      </c>
      <c r="T11" s="542"/>
      <c r="U11" s="542" t="s">
        <v>335</v>
      </c>
    </row>
    <row r="12" spans="2:35">
      <c r="C12" s="543"/>
      <c r="D12" s="543"/>
      <c r="E12" s="543">
        <v>1</v>
      </c>
      <c r="F12" s="543"/>
      <c r="G12" s="543"/>
      <c r="H12" s="543"/>
      <c r="I12" s="543">
        <v>2</v>
      </c>
      <c r="J12" s="543"/>
      <c r="K12" s="543"/>
      <c r="L12" s="543"/>
      <c r="M12" s="543">
        <v>3</v>
      </c>
      <c r="N12" s="543"/>
      <c r="O12" s="543"/>
      <c r="P12" s="543"/>
      <c r="Q12" s="547"/>
      <c r="R12" s="549"/>
      <c r="S12" s="542"/>
      <c r="T12" s="542"/>
      <c r="U12" s="542"/>
      <c r="AB12" s="172"/>
    </row>
    <row r="13" spans="2:35" ht="27">
      <c r="C13" s="543"/>
      <c r="D13" s="543"/>
      <c r="E13" s="458" t="s">
        <v>150</v>
      </c>
      <c r="F13" s="457" t="s">
        <v>302</v>
      </c>
      <c r="G13" s="457" t="s">
        <v>152</v>
      </c>
      <c r="H13" s="457" t="s">
        <v>153</v>
      </c>
      <c r="I13" s="458" t="s">
        <v>150</v>
      </c>
      <c r="J13" s="457" t="s">
        <v>302</v>
      </c>
      <c r="K13" s="457" t="s">
        <v>152</v>
      </c>
      <c r="L13" s="457" t="s">
        <v>153</v>
      </c>
      <c r="M13" s="458" t="s">
        <v>150</v>
      </c>
      <c r="N13" s="457" t="s">
        <v>302</v>
      </c>
      <c r="O13" s="457" t="s">
        <v>152</v>
      </c>
      <c r="P13" s="457" t="s">
        <v>153</v>
      </c>
      <c r="Q13" s="547"/>
      <c r="R13" s="549"/>
      <c r="S13" s="457" t="s">
        <v>144</v>
      </c>
      <c r="T13" s="458" t="s">
        <v>168</v>
      </c>
      <c r="U13" s="543"/>
      <c r="W13" s="172" t="s">
        <v>170</v>
      </c>
      <c r="X13" s="267" t="s">
        <v>171</v>
      </c>
    </row>
    <row r="14" spans="2:35">
      <c r="C14" s="540" t="s">
        <v>494</v>
      </c>
      <c r="D14" s="180" t="s">
        <v>12</v>
      </c>
      <c r="E14" s="275">
        <f>IFERROR(VLOOKUP(D14,'미니게임_DATA(순)'!$A$4:$EV$60,145,0),0)</f>
        <v>93</v>
      </c>
      <c r="F14" s="273"/>
      <c r="G14" s="526">
        <f>RANK(E18,($E$18,$E$23,$E$28,$E$33,E$38,$E$43))</f>
        <v>3</v>
      </c>
      <c r="H14" s="526">
        <f>G14</f>
        <v>3</v>
      </c>
      <c r="I14" s="275">
        <f>IFERROR(VLOOKUP(D14,'미니게임_DATA(순)'!$A$4:$EV$60,146,0),0)</f>
        <v>93</v>
      </c>
      <c r="J14" s="273"/>
      <c r="K14" s="526">
        <f>RANK(I18,($I$18,$I$23,$I$28,$I$33,I$38,$I$43))</f>
        <v>4</v>
      </c>
      <c r="L14" s="526">
        <f>RANK(AA18,($AA$18,$AA$23,$AA$28,$AA$33,$AA$38,$AA$43))</f>
        <v>4</v>
      </c>
      <c r="M14" s="275">
        <f>IFERROR(VLOOKUP(D14,'미니게임_DATA(순)'!$A$4:$EV$60,147,0),0)</f>
        <v>126</v>
      </c>
      <c r="N14" s="273"/>
      <c r="O14" s="526">
        <f>RANK(M18,($M$18,$M$23,$M$28,$M$33,$M$38,$M$43))</f>
        <v>3</v>
      </c>
      <c r="P14" s="526">
        <f>S14</f>
        <v>4</v>
      </c>
      <c r="Q14" s="273">
        <f t="shared" ref="Q14:Q43" si="0">E14+I14+M14</f>
        <v>312</v>
      </c>
      <c r="R14" s="274">
        <f>AVERAGE(E14,I14,M14)</f>
        <v>104</v>
      </c>
      <c r="S14" s="529">
        <f>RANK(Q18,($Q$18,$Q$23,$Q$28,$Q$33,$Q$38,$Q$43))</f>
        <v>4</v>
      </c>
      <c r="T14" s="541">
        <f>MAX($Q$18,$Q$23,Q$28,Q$33,Q$38)-Q18</f>
        <v>94</v>
      </c>
      <c r="U14" s="184">
        <f>IFERROR(R14-VLOOKUP(D14,'미니게임_DATA(순)'!$A:$FB,MATCH("rct 20g avg",'미니게임_DATA(순)'!$A$3:$FB$3,0),0),0)</f>
        <v>-45.599999999999994</v>
      </c>
      <c r="W14" s="185">
        <f>MAX(E14,I14,M14)</f>
        <v>126</v>
      </c>
      <c r="X14" s="267">
        <f>R14</f>
        <v>104</v>
      </c>
      <c r="Y14" s="267" t="str">
        <f>VLOOKUP(Z14,'미니게임_DATA(순)'!$A$4:$C$60,3,0)</f>
        <v>여</v>
      </c>
      <c r="Z14" s="187" t="str">
        <f>D14</f>
        <v>성소라</v>
      </c>
      <c r="AI14" s="169" t="s">
        <v>299</v>
      </c>
    </row>
    <row r="15" spans="2:35">
      <c r="C15" s="538"/>
      <c r="D15" s="188" t="s">
        <v>13</v>
      </c>
      <c r="E15" s="275">
        <f>IFERROR(VLOOKUP(D15,'미니게임_DATA(순)'!$A$4:$EV$60,145,0),0)</f>
        <v>181</v>
      </c>
      <c r="F15" s="275"/>
      <c r="G15" s="527"/>
      <c r="H15" s="527"/>
      <c r="I15" s="275">
        <f>IFERROR(VLOOKUP(D15,'미니게임_DATA(순)'!$A$4:$EV$60,146,0),0)</f>
        <v>148</v>
      </c>
      <c r="J15" s="275"/>
      <c r="K15" s="527"/>
      <c r="L15" s="527"/>
      <c r="M15" s="275">
        <f>IFERROR(VLOOKUP(D15,'미니게임_DATA(순)'!$A$4:$EV$60,147,0),0)</f>
        <v>188</v>
      </c>
      <c r="N15" s="275"/>
      <c r="O15" s="527"/>
      <c r="P15" s="527"/>
      <c r="Q15" s="275">
        <f t="shared" si="0"/>
        <v>517</v>
      </c>
      <c r="R15" s="300">
        <f t="shared" ref="R15:R16" si="1">AVERAGE(E15,I15,M15)</f>
        <v>172.33333333333334</v>
      </c>
      <c r="S15" s="530"/>
      <c r="T15" s="527"/>
      <c r="U15" s="190">
        <f>IFERROR(R15-VLOOKUP(D15,'미니게임_DATA(순)'!$A:$FB,MATCH("rct 20g avg",'미니게임_DATA(순)'!$A$3:$FB$3,0),0),0)</f>
        <v>15.233333333333348</v>
      </c>
      <c r="W15" s="185">
        <f t="shared" ref="W15:W16" si="2">MAX(E15,I15,M15)</f>
        <v>188</v>
      </c>
      <c r="X15" s="267">
        <f t="shared" ref="X15:X16" si="3">R15</f>
        <v>172.33333333333334</v>
      </c>
      <c r="Y15" s="267" t="str">
        <f>VLOOKUP(Z15,'미니게임_DATA(순)'!$A$4:$C$60,3,0)</f>
        <v>남</v>
      </c>
      <c r="Z15" s="187" t="str">
        <f>D15</f>
        <v>정동현</v>
      </c>
    </row>
    <row r="16" spans="2:35">
      <c r="C16" s="538"/>
      <c r="D16" s="188" t="s">
        <v>404</v>
      </c>
      <c r="E16" s="275">
        <f>IFERROR(VLOOKUP(D16,'미니게임_DATA(순)'!$A$4:$EV$60,145,0),0)</f>
        <v>157</v>
      </c>
      <c r="F16" s="275"/>
      <c r="G16" s="527"/>
      <c r="H16" s="527"/>
      <c r="I16" s="275">
        <f>IFERROR(VLOOKUP(D16,'미니게임_DATA(순)'!$A$4:$EV$60,146,0),0)</f>
        <v>127</v>
      </c>
      <c r="J16" s="275"/>
      <c r="K16" s="527"/>
      <c r="L16" s="527"/>
      <c r="M16" s="275">
        <f>IFERROR(VLOOKUP(D16,'미니게임_DATA(순)'!$A$4:$EV$60,147,0),0)</f>
        <v>157</v>
      </c>
      <c r="N16" s="275"/>
      <c r="O16" s="527"/>
      <c r="P16" s="527"/>
      <c r="Q16" s="275">
        <f t="shared" si="0"/>
        <v>441</v>
      </c>
      <c r="R16" s="276">
        <f t="shared" si="1"/>
        <v>147</v>
      </c>
      <c r="S16" s="530"/>
      <c r="T16" s="527"/>
      <c r="U16" s="190">
        <f>IFERROR(R16-VLOOKUP(D16,'미니게임_DATA(순)'!$A:$FB,MATCH("rct 20g avg",'미니게임_DATA(순)'!$A$3:$FB$3,0),0),0)</f>
        <v>10.050000000000011</v>
      </c>
      <c r="W16" s="185">
        <f t="shared" si="2"/>
        <v>157</v>
      </c>
      <c r="X16" s="267">
        <f t="shared" si="3"/>
        <v>147</v>
      </c>
      <c r="Y16" s="267" t="str">
        <f>VLOOKUP(Z16,'미니게임_DATA(순)'!$A$4:$C$60,3,0)</f>
        <v>남</v>
      </c>
      <c r="Z16" s="187" t="str">
        <f>D16</f>
        <v>남준석</v>
      </c>
    </row>
    <row r="17" spans="3:27">
      <c r="C17" s="538"/>
      <c r="D17" s="191"/>
      <c r="E17" s="279"/>
      <c r="F17" s="279"/>
      <c r="G17" s="527"/>
      <c r="H17" s="527"/>
      <c r="I17" s="279"/>
      <c r="J17" s="279"/>
      <c r="K17" s="527"/>
      <c r="L17" s="527"/>
      <c r="M17" s="279"/>
      <c r="N17" s="279"/>
      <c r="O17" s="527"/>
      <c r="P17" s="527"/>
      <c r="Q17" s="279">
        <f t="shared" si="0"/>
        <v>0</v>
      </c>
      <c r="R17" s="276">
        <f t="shared" ref="R17" si="4">Q17/3</f>
        <v>0</v>
      </c>
      <c r="S17" s="530"/>
      <c r="T17" s="527"/>
      <c r="U17" s="190">
        <f>IFERROR(R17-VLOOKUP(D17,'미니게임_DATA(순)'!$A:$FB,MATCH("rct 20g avg",'미니게임_DATA(순)'!$A$3:$FB$3,0),0),0)</f>
        <v>0</v>
      </c>
      <c r="W17" s="185"/>
      <c r="Z17" s="187"/>
    </row>
    <row r="18" spans="3:27" ht="16.5">
      <c r="C18" s="539"/>
      <c r="D18" s="459"/>
      <c r="E18" s="535">
        <f>SUMIF(E14:F17, "&gt;0")</f>
        <v>431</v>
      </c>
      <c r="F18" s="498"/>
      <c r="G18" s="528"/>
      <c r="H18" s="528"/>
      <c r="I18" s="535">
        <f>SUMIF(I14:J17, "&gt;0")</f>
        <v>368</v>
      </c>
      <c r="J18" s="498"/>
      <c r="K18" s="528"/>
      <c r="L18" s="528"/>
      <c r="M18" s="535">
        <f>SUMIF(M14:N17, "&gt;0")</f>
        <v>471</v>
      </c>
      <c r="N18" s="498"/>
      <c r="O18" s="528"/>
      <c r="P18" s="528"/>
      <c r="Q18" s="272">
        <f t="shared" si="0"/>
        <v>1270</v>
      </c>
      <c r="R18" s="196"/>
      <c r="S18" s="531"/>
      <c r="T18" s="528"/>
      <c r="U18" s="277">
        <f>IFERROR(R18-VLOOKUP(D18,'미니게임_DATA(순)'!$A:$FB,MATCH("rct 20g avg",'미니게임_DATA(순)'!$A$3:$FB$3,0),0),0)</f>
        <v>0</v>
      </c>
      <c r="V18" s="185"/>
      <c r="W18" s="185"/>
      <c r="Z18" s="187">
        <f>D18</f>
        <v>0</v>
      </c>
      <c r="AA18" s="187">
        <f>SUM(E18,I18)</f>
        <v>799</v>
      </c>
    </row>
    <row r="19" spans="3:27">
      <c r="C19" s="540" t="s">
        <v>488</v>
      </c>
      <c r="D19" s="180" t="s">
        <v>37</v>
      </c>
      <c r="E19" s="275">
        <f>IFERROR(VLOOKUP(D19,'미니게임_DATA(순)'!$A$4:$EV$60,145,0),0)</f>
        <v>131</v>
      </c>
      <c r="F19" s="273"/>
      <c r="G19" s="526">
        <f>RANK(E23,($E$18,$E$23,$E$28,$E$33,E$38,$E$43))</f>
        <v>4</v>
      </c>
      <c r="H19" s="526">
        <f t="shared" ref="H19" si="5">G19</f>
        <v>4</v>
      </c>
      <c r="I19" s="275">
        <f>IFERROR(VLOOKUP(D19,'미니게임_DATA(순)'!$A$4:$EV$60,146,0),0)</f>
        <v>169</v>
      </c>
      <c r="J19" s="273"/>
      <c r="K19" s="526">
        <f>RANK(I23,($I$18,$I$23,$I$28,$I$33,I$38,$I$43))</f>
        <v>2</v>
      </c>
      <c r="L19" s="526">
        <f>RANK(AA23,($AA$18,$AA$23,$AA$28,$AA$33,$AA$38,$AA$43))</f>
        <v>3</v>
      </c>
      <c r="M19" s="275">
        <f>IFERROR(VLOOKUP(D19,'미니게임_DATA(순)'!$A$4:$EV$60,147,0),0)</f>
        <v>188</v>
      </c>
      <c r="N19" s="273"/>
      <c r="O19" s="526">
        <f>RANK(M23,($M$18,$M$23,$M$28,$M$33,$M$38,$M$43))</f>
        <v>2</v>
      </c>
      <c r="P19" s="526">
        <f t="shared" ref="P19" si="6">S19</f>
        <v>3</v>
      </c>
      <c r="Q19" s="273">
        <f t="shared" si="0"/>
        <v>488</v>
      </c>
      <c r="R19" s="274">
        <f>AVERAGE(E19,I19,M19)</f>
        <v>162.66666666666666</v>
      </c>
      <c r="S19" s="529">
        <f>RANK(Q23,($Q$18,$Q$23,$Q$28,$Q$33,$Q$38,$Q$43))</f>
        <v>3</v>
      </c>
      <c r="T19" s="532">
        <f>MAX($Q$18,$Q$23,Q$28,Q$33,Q$38)-Q23</f>
        <v>22</v>
      </c>
      <c r="U19" s="184">
        <f>IFERROR(R19-VLOOKUP(D19,'미니게임_DATA(순)'!$A:$FB,MATCH("rct 20g avg",'미니게임_DATA(순)'!$A$3:$FB$3,0),0),0)</f>
        <v>-4.4333333333333371</v>
      </c>
      <c r="W19" s="185">
        <f>MAX(E19,I19,M19)</f>
        <v>188</v>
      </c>
      <c r="X19" s="267">
        <f>R19</f>
        <v>162.66666666666666</v>
      </c>
      <c r="Y19" s="267" t="str">
        <f>VLOOKUP(Z19,'미니게임_DATA(순)'!$A$4:$C$60,3,0)</f>
        <v>남</v>
      </c>
      <c r="Z19" s="187" t="str">
        <f>D19</f>
        <v>최은규</v>
      </c>
    </row>
    <row r="20" spans="3:27">
      <c r="C20" s="538"/>
      <c r="D20" s="188" t="s">
        <v>11</v>
      </c>
      <c r="E20" s="275">
        <f>IFERROR(VLOOKUP(D20,'미니게임_DATA(순)'!$A$4:$EV$60,145,0),0)</f>
        <v>165</v>
      </c>
      <c r="F20" s="275"/>
      <c r="G20" s="527"/>
      <c r="H20" s="527"/>
      <c r="I20" s="275">
        <f>IFERROR(VLOOKUP(D20,'미니게임_DATA(순)'!$A$4:$EV$60,146,0),0)</f>
        <v>147</v>
      </c>
      <c r="J20" s="275"/>
      <c r="K20" s="527"/>
      <c r="L20" s="527"/>
      <c r="M20" s="275">
        <f>IFERROR(VLOOKUP(D20,'미니게임_DATA(순)'!$A$4:$EV$60,147,0),0)</f>
        <v>169</v>
      </c>
      <c r="N20" s="275"/>
      <c r="O20" s="527"/>
      <c r="P20" s="527"/>
      <c r="Q20" s="275">
        <f t="shared" si="0"/>
        <v>481</v>
      </c>
      <c r="R20" s="300">
        <f t="shared" ref="R20:R21" si="7">AVERAGE(E20,I20,M20)</f>
        <v>160.33333333333334</v>
      </c>
      <c r="S20" s="530"/>
      <c r="T20" s="533"/>
      <c r="U20" s="190">
        <f>IFERROR(R20-VLOOKUP(D20,'미니게임_DATA(순)'!$A:$FB,MATCH("rct 20g avg",'미니게임_DATA(순)'!$A$3:$FB$3,0),0),0)</f>
        <v>2.1833333333333371</v>
      </c>
      <c r="W20" s="185">
        <f t="shared" ref="W20:W21" si="8">MAX(E20,I20,M20)</f>
        <v>169</v>
      </c>
      <c r="X20" s="267">
        <f>R20</f>
        <v>160.33333333333334</v>
      </c>
      <c r="Y20" s="267" t="str">
        <f>VLOOKUP(Z20,'미니게임_DATA(순)'!$A$4:$C$60,3,0)</f>
        <v>남</v>
      </c>
      <c r="Z20" s="187" t="str">
        <f>D20</f>
        <v>박용승</v>
      </c>
    </row>
    <row r="21" spans="3:27">
      <c r="C21" s="538"/>
      <c r="D21" s="188" t="s">
        <v>372</v>
      </c>
      <c r="E21" s="275">
        <f>IFERROR(VLOOKUP(D21,'미니게임_DATA(순)'!$A$4:$EV$60,145,0),0)</f>
        <v>93</v>
      </c>
      <c r="F21" s="275">
        <v>30</v>
      </c>
      <c r="G21" s="527"/>
      <c r="H21" s="527"/>
      <c r="I21" s="275">
        <f>IFERROR(VLOOKUP(D21,'미니게임_DATA(순)'!$A$4:$EV$60,146,0),0)</f>
        <v>104</v>
      </c>
      <c r="J21" s="275">
        <v>30</v>
      </c>
      <c r="K21" s="527"/>
      <c r="L21" s="527"/>
      <c r="M21" s="275">
        <f>IFERROR(VLOOKUP(D21,'미니게임_DATA(순)'!$A$4:$EV$60,147,0),0)</f>
        <v>86</v>
      </c>
      <c r="N21" s="275">
        <v>30</v>
      </c>
      <c r="O21" s="527"/>
      <c r="P21" s="527"/>
      <c r="Q21" s="275">
        <f t="shared" si="0"/>
        <v>283</v>
      </c>
      <c r="R21" s="276">
        <f t="shared" si="7"/>
        <v>94.333333333333329</v>
      </c>
      <c r="S21" s="530"/>
      <c r="T21" s="533"/>
      <c r="U21" s="190">
        <f>IFERROR(R21-VLOOKUP(D21,'미니게임_DATA(순)'!$A:$FB,MATCH("rct 20g avg",'미니게임_DATA(순)'!$A$3:$FB$3,0),0),0)</f>
        <v>-2.4166666666666714</v>
      </c>
      <c r="W21" s="185">
        <f t="shared" si="8"/>
        <v>104</v>
      </c>
      <c r="X21" s="267">
        <f>R21</f>
        <v>94.333333333333329</v>
      </c>
      <c r="Y21" s="267" t="str">
        <f>VLOOKUP(Z21,'미니게임_DATA(순)'!$A$4:$C$60,3,0)</f>
        <v>남</v>
      </c>
      <c r="Z21" s="187" t="str">
        <f>D21</f>
        <v>이경준</v>
      </c>
    </row>
    <row r="22" spans="3:27">
      <c r="C22" s="538"/>
      <c r="D22" s="188"/>
      <c r="E22" s="279"/>
      <c r="F22" s="279"/>
      <c r="G22" s="527"/>
      <c r="H22" s="527"/>
      <c r="I22" s="279"/>
      <c r="J22" s="279"/>
      <c r="K22" s="527"/>
      <c r="L22" s="527"/>
      <c r="M22" s="279"/>
      <c r="N22" s="279"/>
      <c r="O22" s="527"/>
      <c r="P22" s="527"/>
      <c r="Q22" s="279">
        <f t="shared" si="0"/>
        <v>0</v>
      </c>
      <c r="R22" s="276">
        <f t="shared" ref="R22" si="9">Q22/3</f>
        <v>0</v>
      </c>
      <c r="S22" s="530"/>
      <c r="T22" s="533"/>
      <c r="U22" s="190">
        <f>IFERROR(R22-VLOOKUP(D22,'미니게임_DATA(순)'!$A:$FB,MATCH("rct 20g avg",'미니게임_DATA(순)'!$A$3:$FB$3,0),0),0)</f>
        <v>0</v>
      </c>
      <c r="W22" s="185"/>
      <c r="Z22" s="187">
        <f>D22</f>
        <v>0</v>
      </c>
    </row>
    <row r="23" spans="3:27" ht="16.5">
      <c r="C23" s="539"/>
      <c r="D23" s="459"/>
      <c r="E23" s="535">
        <f>SUMIF(E19:F22, "&gt;0")</f>
        <v>419</v>
      </c>
      <c r="F23" s="498"/>
      <c r="G23" s="528"/>
      <c r="H23" s="528"/>
      <c r="I23" s="535">
        <f>SUMIF(I19:J22, "&gt;0")</f>
        <v>450</v>
      </c>
      <c r="J23" s="498"/>
      <c r="K23" s="528"/>
      <c r="L23" s="528"/>
      <c r="M23" s="535">
        <f>SUMIF(M19:N22, "&gt;0")</f>
        <v>473</v>
      </c>
      <c r="N23" s="498"/>
      <c r="O23" s="528"/>
      <c r="P23" s="528"/>
      <c r="Q23" s="272">
        <f t="shared" si="0"/>
        <v>1342</v>
      </c>
      <c r="R23" s="196"/>
      <c r="S23" s="531"/>
      <c r="T23" s="534"/>
      <c r="U23" s="277">
        <f>IFERROR(R23-VLOOKUP(D23,'미니게임_DATA(순)'!$A:$FB,MATCH("rct 20g avg",'미니게임_DATA(순)'!$A$3:$FB$3,0),0),0)</f>
        <v>0</v>
      </c>
      <c r="V23" s="185"/>
      <c r="W23" s="185"/>
      <c r="Z23" s="187">
        <f t="shared" ref="Z23:Z32" si="10">D23</f>
        <v>0</v>
      </c>
      <c r="AA23" s="187">
        <f>SUM(E23,I23)</f>
        <v>869</v>
      </c>
    </row>
    <row r="24" spans="3:27">
      <c r="C24" s="540" t="s">
        <v>507</v>
      </c>
      <c r="D24" s="180" t="s">
        <v>282</v>
      </c>
      <c r="E24" s="275">
        <f>IFERROR(VLOOKUP(D24,'미니게임_DATA(순)'!$A$4:$EV$60,145,0),0)</f>
        <v>197</v>
      </c>
      <c r="F24" s="273"/>
      <c r="G24" s="526">
        <f>RANK(E28,($E$18,$E$23,$E$28,$E$33,E$38,$E$43))</f>
        <v>1</v>
      </c>
      <c r="H24" s="526">
        <f t="shared" ref="H24" si="11">G24</f>
        <v>1</v>
      </c>
      <c r="I24" s="275">
        <f>IFERROR(VLOOKUP(D24,'미니게임_DATA(순)'!$A$4:$EV$60,146,0),0)</f>
        <v>128</v>
      </c>
      <c r="J24" s="273"/>
      <c r="K24" s="526">
        <f>RANK(I28,($I$18,$I$23,$I$28,$I$33,I$38,$I$43))</f>
        <v>3</v>
      </c>
      <c r="L24" s="526">
        <f>RANK(AA28,($AA$18,$AA$23,$AA$28,$AA$33,$AA$38,$AA$43))</f>
        <v>2</v>
      </c>
      <c r="M24" s="275">
        <f>IFERROR(VLOOKUP(D24,'미니게임_DATA(순)'!$A$4:$EV$60,147,0),0)</f>
        <v>154</v>
      </c>
      <c r="N24" s="273"/>
      <c r="O24" s="526">
        <f>RANK(M28,($M$18,$M$23,$M$28,$M$33,$M$38,$M$43))</f>
        <v>1</v>
      </c>
      <c r="P24" s="526">
        <f t="shared" ref="P24" si="12">S24</f>
        <v>1</v>
      </c>
      <c r="Q24" s="273">
        <f t="shared" si="0"/>
        <v>479</v>
      </c>
      <c r="R24" s="274">
        <f>AVERAGE(E24,I24,M24)</f>
        <v>159.66666666666666</v>
      </c>
      <c r="S24" s="529">
        <f>RANK(Q28,($Q$18,$Q$23,$Q$28,$Q$33,$Q$38,$Q$43))</f>
        <v>1</v>
      </c>
      <c r="T24" s="532">
        <f>MAX($Q$18,$Q$23,Q$28,Q$33,Q$38)-Q28</f>
        <v>0</v>
      </c>
      <c r="U24" s="184">
        <f>IFERROR(R24-VLOOKUP(D24,'미니게임_DATA(순)'!$A:$FB,MATCH("rct 20g avg",'미니게임_DATA(순)'!$A$3:$FB$3,0),0),0)</f>
        <v>-4.0833333333333428</v>
      </c>
      <c r="W24" s="185">
        <f t="shared" ref="W24:W27" si="13">MAX(E24,I24,M24)</f>
        <v>197</v>
      </c>
      <c r="X24" s="267">
        <f>R24</f>
        <v>159.66666666666666</v>
      </c>
      <c r="Y24" s="267" t="str">
        <f>VLOOKUP(Z24,'미니게임_DATA(순)'!$A$4:$C$60,3,0)</f>
        <v>여</v>
      </c>
      <c r="Z24" s="187" t="str">
        <f t="shared" si="10"/>
        <v>손하은</v>
      </c>
    </row>
    <row r="25" spans="3:27">
      <c r="C25" s="538"/>
      <c r="D25" s="188" t="s">
        <v>17</v>
      </c>
      <c r="E25" s="275">
        <f>IFERROR(VLOOKUP(D25,'미니게임_DATA(순)'!$A$4:$EV$60,145,0),0)</f>
        <v>129</v>
      </c>
      <c r="F25" s="275"/>
      <c r="G25" s="527"/>
      <c r="H25" s="527"/>
      <c r="I25" s="275">
        <f>IFERROR(VLOOKUP(D25,'미니게임_DATA(순)'!$A$4:$EV$60,146,0),0)</f>
        <v>122</v>
      </c>
      <c r="J25" s="275"/>
      <c r="K25" s="527"/>
      <c r="L25" s="527"/>
      <c r="M25" s="275">
        <f>IFERROR(VLOOKUP(D25,'미니게임_DATA(순)'!$A$4:$EV$60,147,0),0)</f>
        <v>156</v>
      </c>
      <c r="N25" s="275"/>
      <c r="O25" s="527"/>
      <c r="P25" s="527"/>
      <c r="Q25" s="275">
        <f t="shared" si="0"/>
        <v>407</v>
      </c>
      <c r="R25" s="300">
        <f t="shared" ref="R25:R26" si="14">AVERAGE(E25,I25,M25)</f>
        <v>135.66666666666666</v>
      </c>
      <c r="S25" s="530"/>
      <c r="T25" s="533"/>
      <c r="U25" s="190">
        <f>IFERROR(R25-VLOOKUP(D25,'미니게임_DATA(순)'!$A:$FB,MATCH("rct 20g avg",'미니게임_DATA(순)'!$A$3:$FB$3,0),0),0)</f>
        <v>-13.683333333333337</v>
      </c>
      <c r="W25" s="185">
        <f t="shared" si="13"/>
        <v>156</v>
      </c>
      <c r="X25" s="267">
        <f>R25</f>
        <v>135.66666666666666</v>
      </c>
      <c r="Y25" s="267" t="str">
        <f>VLOOKUP(Z25,'미니게임_DATA(순)'!$A$4:$C$60,3,0)</f>
        <v>남</v>
      </c>
      <c r="Z25" s="187" t="str">
        <f t="shared" si="10"/>
        <v>한희용</v>
      </c>
    </row>
    <row r="26" spans="3:27">
      <c r="C26" s="538"/>
      <c r="D26" s="188" t="s">
        <v>281</v>
      </c>
      <c r="E26" s="275">
        <f>IFERROR(VLOOKUP(D26,'미니게임_DATA(순)'!$A$4:$EV$60,145,0),0)</f>
        <v>148</v>
      </c>
      <c r="F26" s="275"/>
      <c r="G26" s="527"/>
      <c r="H26" s="527"/>
      <c r="I26" s="275">
        <f>IFERROR(VLOOKUP(D26,'미니게임_DATA(순)'!$A$4:$EV$60,146,0),0)</f>
        <v>146</v>
      </c>
      <c r="J26" s="275"/>
      <c r="K26" s="527"/>
      <c r="L26" s="527"/>
      <c r="M26" s="275">
        <f>IFERROR(VLOOKUP(D26,'미니게임_DATA(순)'!$A$4:$EV$60,147,0),0)</f>
        <v>184</v>
      </c>
      <c r="N26" s="275"/>
      <c r="O26" s="527"/>
      <c r="P26" s="527"/>
      <c r="Q26" s="275">
        <f t="shared" si="0"/>
        <v>478</v>
      </c>
      <c r="R26" s="276">
        <f t="shared" si="14"/>
        <v>159.33333333333334</v>
      </c>
      <c r="S26" s="530"/>
      <c r="T26" s="533"/>
      <c r="U26" s="190">
        <f>IFERROR(R26-VLOOKUP(D26,'미니게임_DATA(순)'!$A:$FB,MATCH("rct 20g avg",'미니게임_DATA(순)'!$A$3:$FB$3,0),0),0)</f>
        <v>-1.3166666666666629</v>
      </c>
      <c r="W26" s="185">
        <f t="shared" si="13"/>
        <v>184</v>
      </c>
      <c r="X26" s="267">
        <f>R26</f>
        <v>159.33333333333334</v>
      </c>
      <c r="Y26" s="267" t="str">
        <f>VLOOKUP(Z26,'미니게임_DATA(순)'!$A$4:$C$60,3,0)</f>
        <v>여</v>
      </c>
      <c r="Z26" s="187" t="str">
        <f t="shared" si="10"/>
        <v>오수인</v>
      </c>
    </row>
    <row r="27" spans="3:27">
      <c r="C27" s="538"/>
      <c r="D27" s="191"/>
      <c r="E27" s="302">
        <f>IFERROR(VLOOKUP(D27,'미니게임_DATA(순)'!$A$4:$EV$45,111,0),0)</f>
        <v>0</v>
      </c>
      <c r="F27" s="279"/>
      <c r="G27" s="527"/>
      <c r="H27" s="527"/>
      <c r="I27" s="302">
        <f>IFERROR(VLOOKUP(D27,'미니게임_DATA(순)'!$A$4:$EV$45,112,0),0)</f>
        <v>0</v>
      </c>
      <c r="J27" s="279"/>
      <c r="K27" s="527"/>
      <c r="L27" s="527"/>
      <c r="M27" s="302">
        <f>IFERROR(VLOOKUP(D27,'미니게임_DATA(순)'!$A$4:$EV$45,113,0),0)</f>
        <v>0</v>
      </c>
      <c r="N27" s="279"/>
      <c r="O27" s="527"/>
      <c r="P27" s="527"/>
      <c r="Q27" s="279">
        <f t="shared" si="0"/>
        <v>0</v>
      </c>
      <c r="R27" s="276">
        <f t="shared" ref="R27" si="15">Q27/3</f>
        <v>0</v>
      </c>
      <c r="S27" s="530"/>
      <c r="T27" s="533"/>
      <c r="U27" s="190">
        <f>IFERROR(R27-VLOOKUP(D27,'미니게임_DATA(순)'!$A:$FB,MATCH("rct 20g avg",'미니게임_DATA(순)'!$A$3:$FB$3,0),0),0)</f>
        <v>0</v>
      </c>
      <c r="W27" s="185">
        <f t="shared" si="13"/>
        <v>0</v>
      </c>
      <c r="X27" s="267">
        <f>R27</f>
        <v>0</v>
      </c>
      <c r="Y27" s="388" t="s">
        <v>239</v>
      </c>
      <c r="Z27" s="187">
        <f t="shared" si="10"/>
        <v>0</v>
      </c>
    </row>
    <row r="28" spans="3:27" ht="16.5">
      <c r="C28" s="539"/>
      <c r="D28" s="459"/>
      <c r="E28" s="535">
        <f>SUMIF(E24:F26, "&gt;0")</f>
        <v>474</v>
      </c>
      <c r="F28" s="498"/>
      <c r="G28" s="528"/>
      <c r="H28" s="528"/>
      <c r="I28" s="535">
        <f>SUMIF(I24:J26, "&gt;0")</f>
        <v>396</v>
      </c>
      <c r="J28" s="498"/>
      <c r="K28" s="528"/>
      <c r="L28" s="528"/>
      <c r="M28" s="535">
        <f>SUMIF(M24:N26, "&gt;0")</f>
        <v>494</v>
      </c>
      <c r="N28" s="498"/>
      <c r="O28" s="528"/>
      <c r="P28" s="528"/>
      <c r="Q28" s="272">
        <f t="shared" si="0"/>
        <v>1364</v>
      </c>
      <c r="R28" s="196"/>
      <c r="S28" s="531"/>
      <c r="T28" s="534"/>
      <c r="U28" s="277">
        <f>IFERROR(R28-VLOOKUP(D28,'미니게임_DATA(순)'!$A:$FB,MATCH("rct 20g avg",'미니게임_DATA(순)'!$A$3:$FB$3,0),0),0)</f>
        <v>0</v>
      </c>
      <c r="V28" s="185"/>
      <c r="W28" s="185"/>
      <c r="Z28" s="187">
        <f t="shared" si="10"/>
        <v>0</v>
      </c>
      <c r="AA28" s="187">
        <f>SUM(E28,I28)</f>
        <v>870</v>
      </c>
    </row>
    <row r="29" spans="3:27">
      <c r="C29" s="540" t="s">
        <v>508</v>
      </c>
      <c r="D29" s="180" t="s">
        <v>14</v>
      </c>
      <c r="E29" s="275">
        <f>IFERROR(VLOOKUP(D29,'미니게임_DATA(순)'!$A$4:$EV$60,145,0),0)</f>
        <v>160</v>
      </c>
      <c r="F29" s="273"/>
      <c r="G29" s="526">
        <f>RANK(E33,($E$18,$E$23,$E$28,$E$33,E$38,$E$43))</f>
        <v>2</v>
      </c>
      <c r="H29" s="526">
        <f t="shared" ref="H29" si="16">G29</f>
        <v>2</v>
      </c>
      <c r="I29" s="275">
        <f>IFERROR(VLOOKUP(D29,'미니게임_DATA(순)'!$A$4:$EV$60,146,0),0)</f>
        <v>157</v>
      </c>
      <c r="J29" s="273"/>
      <c r="K29" s="526">
        <f>RANK(I33,($I$18,$I$23,$I$28,$I$33,I$38,$I$43))</f>
        <v>1</v>
      </c>
      <c r="L29" s="526">
        <f>RANK(AA33,($AA$18,$AA$23,$AA$28,$AA$33,$AA$38,$AA$43))</f>
        <v>1</v>
      </c>
      <c r="M29" s="275">
        <f>IFERROR(VLOOKUP(D29,'미니게임_DATA(순)'!$A$4:$EV$60,147,0),0)</f>
        <v>162</v>
      </c>
      <c r="N29" s="273"/>
      <c r="O29" s="526">
        <f>RANK(M33,($M$18,$M$23,$M$28,$M$33,$M$38,$M$43))</f>
        <v>4</v>
      </c>
      <c r="P29" s="526">
        <f t="shared" ref="P29" si="17">S29</f>
        <v>2</v>
      </c>
      <c r="Q29" s="273">
        <f t="shared" si="0"/>
        <v>479</v>
      </c>
      <c r="R29" s="274">
        <f>AVERAGE(E29,I29,M29)</f>
        <v>159.66666666666666</v>
      </c>
      <c r="S29" s="529">
        <f>RANK(Q33,($Q$18,$Q$23,$Q$28,$Q$33,$Q$38,$Q$43))</f>
        <v>2</v>
      </c>
      <c r="T29" s="532">
        <f>MAX($Q$18,$Q$23,Q$28,Q$33,Q$38)-Q33</f>
        <v>12</v>
      </c>
      <c r="U29" s="184">
        <f>IFERROR(R29-VLOOKUP(D29,'미니게임_DATA(순)'!$A:$FB,MATCH("rct 20g avg",'미니게임_DATA(순)'!$A$3:$FB$3,0),0),0)</f>
        <v>-4.8833333333333542</v>
      </c>
      <c r="W29" s="185">
        <f t="shared" ref="W29:W31" si="18">MAX(E29,I29,M29)</f>
        <v>162</v>
      </c>
      <c r="X29" s="267">
        <f>R29</f>
        <v>159.66666666666666</v>
      </c>
      <c r="Y29" s="267" t="str">
        <f>VLOOKUP(Z29,'미니게임_DATA(순)'!$A$4:$C$60,3,0)</f>
        <v>남</v>
      </c>
      <c r="Z29" s="187" t="str">
        <f t="shared" si="10"/>
        <v>채승엽</v>
      </c>
    </row>
    <row r="30" spans="3:27">
      <c r="C30" s="538"/>
      <c r="D30" s="188" t="s">
        <v>10</v>
      </c>
      <c r="E30" s="275">
        <f>IFERROR(VLOOKUP(D30,'미니게임_DATA(순)'!$A$4:$EV$60,145,0),0)</f>
        <v>166</v>
      </c>
      <c r="F30" s="275"/>
      <c r="G30" s="527"/>
      <c r="H30" s="527"/>
      <c r="I30" s="275">
        <f>IFERROR(VLOOKUP(D30,'미니게임_DATA(순)'!$A$4:$EV$60,146,0),0)</f>
        <v>190</v>
      </c>
      <c r="J30" s="275"/>
      <c r="K30" s="527"/>
      <c r="L30" s="527"/>
      <c r="M30" s="275">
        <f>IFERROR(VLOOKUP(D30,'미니게임_DATA(순)'!$A$4:$EV$60,147,0),0)</f>
        <v>146</v>
      </c>
      <c r="N30" s="275"/>
      <c r="O30" s="527"/>
      <c r="P30" s="527"/>
      <c r="Q30" s="275">
        <f t="shared" si="0"/>
        <v>502</v>
      </c>
      <c r="R30" s="300">
        <f t="shared" ref="R30" si="19">AVERAGE(E30,I30,M30)</f>
        <v>167.33333333333334</v>
      </c>
      <c r="S30" s="530"/>
      <c r="T30" s="533"/>
      <c r="U30" s="190">
        <f>IFERROR(R30-VLOOKUP(D30,'미니게임_DATA(순)'!$A:$FB,MATCH("rct 20g avg",'미니게임_DATA(순)'!$A$3:$FB$3,0),0),0)</f>
        <v>16.433333333333337</v>
      </c>
      <c r="W30" s="185">
        <f t="shared" si="18"/>
        <v>190</v>
      </c>
      <c r="X30" s="267">
        <f>R30</f>
        <v>167.33333333333334</v>
      </c>
      <c r="Y30" s="267" t="str">
        <f>VLOOKUP(Z30,'미니게임_DATA(순)'!$A$4:$C$60,3,0)</f>
        <v>남</v>
      </c>
      <c r="Z30" s="187" t="str">
        <f t="shared" si="10"/>
        <v>김신철</v>
      </c>
    </row>
    <row r="31" spans="3:27">
      <c r="C31" s="538"/>
      <c r="D31" s="188" t="s">
        <v>474</v>
      </c>
      <c r="E31" s="275">
        <f>IFERROR(VLOOKUP(D31,'미니게임_DATA(순)'!$A$4:$EV$60,145,0),0)</f>
        <v>88</v>
      </c>
      <c r="F31" s="275">
        <v>20</v>
      </c>
      <c r="G31" s="527"/>
      <c r="H31" s="527"/>
      <c r="I31" s="275">
        <f>IFERROR(VLOOKUP(D31,'미니게임_DATA(순)'!$A$4:$EV$60,146,0),0)</f>
        <v>127</v>
      </c>
      <c r="J31" s="275">
        <v>20</v>
      </c>
      <c r="K31" s="527"/>
      <c r="L31" s="527"/>
      <c r="M31" s="275">
        <f>IFERROR(VLOOKUP(D31,'미니게임_DATA(순)'!$A$4:$EV$60,147,0),0)</f>
        <v>96</v>
      </c>
      <c r="N31" s="275">
        <v>20</v>
      </c>
      <c r="O31" s="527"/>
      <c r="P31" s="527"/>
      <c r="Q31" s="275">
        <f t="shared" si="0"/>
        <v>311</v>
      </c>
      <c r="R31" s="276">
        <f t="shared" ref="R31:R32" si="20">Q31/3</f>
        <v>103.66666666666667</v>
      </c>
      <c r="S31" s="530"/>
      <c r="T31" s="533"/>
      <c r="U31" s="190">
        <f>IFERROR(R31-VLOOKUP(D31,'미니게임_DATA(순)'!$A:$FB,MATCH("rct 20g avg",'미니게임_DATA(순)'!$A$3:$FB$3,0),0),0)</f>
        <v>-7.3888888888888857</v>
      </c>
      <c r="W31" s="185">
        <f t="shared" si="18"/>
        <v>127</v>
      </c>
      <c r="X31" s="267">
        <f>R31</f>
        <v>103.66666666666667</v>
      </c>
      <c r="Y31" s="267" t="str">
        <f>VLOOKUP(Z31,'미니게임_DATA(순)'!$A$4:$C$60,3,0)</f>
        <v>남</v>
      </c>
      <c r="Z31" s="187" t="str">
        <f t="shared" si="10"/>
        <v>차민</v>
      </c>
    </row>
    <row r="32" spans="3:27">
      <c r="C32" s="538"/>
      <c r="D32" s="188"/>
      <c r="E32" s="387">
        <f>IFERROR(VLOOKUP(D32,'미니게임_DATA(순)'!$A$4:$EV$45,115,0),0)</f>
        <v>0</v>
      </c>
      <c r="F32" s="279"/>
      <c r="G32" s="527"/>
      <c r="H32" s="527"/>
      <c r="I32" s="387">
        <f>IFERROR(VLOOKUP(D32,'미니게임_DATA(순)'!$A$4:$EV$45,116,0),0)</f>
        <v>0</v>
      </c>
      <c r="J32" s="279"/>
      <c r="K32" s="527"/>
      <c r="L32" s="527"/>
      <c r="M32" s="387">
        <f>IFERROR(VLOOKUP(D32,'미니게임_DATA(순)'!$A$4:$EV$45,117,0),0)</f>
        <v>0</v>
      </c>
      <c r="N32" s="279"/>
      <c r="O32" s="527"/>
      <c r="P32" s="527"/>
      <c r="Q32" s="279">
        <f t="shared" si="0"/>
        <v>0</v>
      </c>
      <c r="R32" s="276">
        <f t="shared" si="20"/>
        <v>0</v>
      </c>
      <c r="S32" s="530"/>
      <c r="T32" s="533"/>
      <c r="U32" s="190">
        <f>IFERROR(R32-VLOOKUP(D32,'미니게임_DATA(순)'!$A:$FB,MATCH("rct 20g avg",'미니게임_DATA(순)'!$A$3:$FB$3,0),0),0)</f>
        <v>0</v>
      </c>
      <c r="W32" s="185"/>
      <c r="Y32" s="267" t="str">
        <f>IFERROR(VLOOKUP(Z32,'미니게임_DATA(순)'!$A$4:$C$45,3,0),"-")</f>
        <v>-</v>
      </c>
      <c r="Z32" s="187">
        <f t="shared" si="10"/>
        <v>0</v>
      </c>
    </row>
    <row r="33" spans="2:28" ht="16.5">
      <c r="C33" s="539"/>
      <c r="D33" s="459"/>
      <c r="E33" s="535">
        <f>SUMIF(E29:F31, "&gt;0")</f>
        <v>434</v>
      </c>
      <c r="F33" s="498"/>
      <c r="G33" s="528"/>
      <c r="H33" s="528"/>
      <c r="I33" s="535">
        <f>SUMIF(I29:J31, "&gt;0")</f>
        <v>494</v>
      </c>
      <c r="J33" s="498"/>
      <c r="K33" s="528"/>
      <c r="L33" s="528"/>
      <c r="M33" s="535">
        <f>SUMIF(M29:N31, "&gt;0")</f>
        <v>424</v>
      </c>
      <c r="N33" s="536"/>
      <c r="O33" s="528"/>
      <c r="P33" s="528"/>
      <c r="Q33" s="272">
        <f t="shared" si="0"/>
        <v>1352</v>
      </c>
      <c r="R33" s="196"/>
      <c r="S33" s="531"/>
      <c r="T33" s="534"/>
      <c r="U33" s="277">
        <f>IFERROR(R33-VLOOKUP(D33,'미니게임_DATA(순)'!$A:$FB,MATCH("rct 20g avg",'미니게임_DATA(순)'!$A$3:$FB$3,0),0),0)</f>
        <v>0</v>
      </c>
      <c r="V33" s="185"/>
      <c r="W33" s="185"/>
      <c r="Y33" s="267" t="str">
        <f>IFERROR(VLOOKUP(Z33,'미니게임_DATA(순)'!$A$4:$C$45,3,0),"-")</f>
        <v>-</v>
      </c>
      <c r="Z33" s="187">
        <f>D33</f>
        <v>0</v>
      </c>
      <c r="AA33" s="187">
        <f>SUM(E33,I33)</f>
        <v>928</v>
      </c>
    </row>
    <row r="34" spans="2:28">
      <c r="C34" s="540" t="s">
        <v>509</v>
      </c>
      <c r="D34" s="180"/>
      <c r="E34" s="275">
        <f>IFERROR(VLOOKUP(D34,'미니게임_DATA(순)'!$A$4:$EV$60,142,0),0)</f>
        <v>0</v>
      </c>
      <c r="F34" s="273"/>
      <c r="G34" s="526">
        <f>RANK(E38,($E$18,$E$23,$E$28,$E$33,E$38,$E$43))</f>
        <v>5</v>
      </c>
      <c r="H34" s="526">
        <f t="shared" ref="H34" si="21">G34</f>
        <v>5</v>
      </c>
      <c r="I34" s="275">
        <f>IFERROR(VLOOKUP(D34,'미니게임_DATA(순)'!$A$4:$EV$60,143,0),0)</f>
        <v>0</v>
      </c>
      <c r="J34" s="273"/>
      <c r="K34" s="526">
        <f>RANK(I38,($I$18,$I$23,$I$28,$I$33,I$38,$I$43))</f>
        <v>5</v>
      </c>
      <c r="L34" s="526">
        <f>RANK(AA38,($AA$18,$AA$23,$AA$28,$AA$33,$AA$38,$AA$43))</f>
        <v>5</v>
      </c>
      <c r="M34" s="275">
        <f>IFERROR(VLOOKUP(D34,'미니게임_DATA(순)'!$A$4:$EV$60,144,0),0)</f>
        <v>0</v>
      </c>
      <c r="N34" s="273"/>
      <c r="O34" s="526">
        <f>RANK(M38,($M$18,$M$23,$M$28,$M$33,$M$38,$M$43))</f>
        <v>5</v>
      </c>
      <c r="P34" s="526">
        <f t="shared" ref="P34" si="22">S34</f>
        <v>5</v>
      </c>
      <c r="Q34" s="273">
        <f t="shared" si="0"/>
        <v>0</v>
      </c>
      <c r="R34" s="274">
        <f>AVERAGE(E34,I34,M34)</f>
        <v>0</v>
      </c>
      <c r="S34" s="529">
        <f>RANK(Q38,($Q$18,$Q$23,$Q$28,$Q$33,$Q$38,$Q$43))</f>
        <v>5</v>
      </c>
      <c r="T34" s="532">
        <f>MAX($Q$18,$Q$23,Q$28,Q$33,Q$38)-Q38</f>
        <v>1364</v>
      </c>
      <c r="U34" s="184">
        <f>IFERROR(R34-VLOOKUP(D34,'미니게임_DATA(순)'!$A:$FB,MATCH("rct 20g avg",'미니게임_DATA(순)'!$A$3:$FB$3,0),0),0)</f>
        <v>0</v>
      </c>
      <c r="W34" s="185">
        <f t="shared" ref="W34:W36" si="23">MAX(E34,I34,M34)</f>
        <v>0</v>
      </c>
      <c r="X34" s="267">
        <f>R34</f>
        <v>0</v>
      </c>
      <c r="Y34" s="267" t="str">
        <f>IFERROR(VLOOKUP(Z34,'미니게임_DATA(순)'!$A$4:$C$45,3,0),"-")</f>
        <v>-</v>
      </c>
      <c r="Z34" s="187">
        <f t="shared" ref="Z34:Z37" si="24">D34</f>
        <v>0</v>
      </c>
    </row>
    <row r="35" spans="2:28" s="172" customFormat="1">
      <c r="B35" s="169"/>
      <c r="C35" s="538"/>
      <c r="D35" s="188"/>
      <c r="E35" s="275">
        <f>IFERROR(VLOOKUP(D35,'미니게임_DATA(순)'!$A$4:$EV$60,142,0),0)</f>
        <v>0</v>
      </c>
      <c r="F35" s="275"/>
      <c r="G35" s="527"/>
      <c r="H35" s="527"/>
      <c r="I35" s="275">
        <f>IFERROR(VLOOKUP(D35,'미니게임_DATA(순)'!$A$4:$EV$60,143,0),0)</f>
        <v>0</v>
      </c>
      <c r="J35" s="275"/>
      <c r="K35" s="527"/>
      <c r="L35" s="527"/>
      <c r="M35" s="275">
        <f>IFERROR(VLOOKUP(D35,'미니게임_DATA(순)'!$A$4:$EV$60,144,0),0)</f>
        <v>0</v>
      </c>
      <c r="N35" s="275"/>
      <c r="O35" s="527"/>
      <c r="P35" s="527"/>
      <c r="Q35" s="275">
        <f t="shared" si="0"/>
        <v>0</v>
      </c>
      <c r="R35" s="300">
        <f t="shared" ref="R35" si="25">AVERAGE(E35,I35,M35)</f>
        <v>0</v>
      </c>
      <c r="S35" s="530"/>
      <c r="T35" s="533"/>
      <c r="U35" s="190">
        <f>IFERROR(R35-VLOOKUP(D35,'미니게임_DATA(순)'!$A:$FB,MATCH("rct 20g avg",'미니게임_DATA(순)'!$A$3:$FB$3,0),0),0)</f>
        <v>0</v>
      </c>
      <c r="W35" s="185">
        <f t="shared" si="23"/>
        <v>0</v>
      </c>
      <c r="X35" s="267">
        <f>R35</f>
        <v>0</v>
      </c>
      <c r="Y35" s="267" t="str">
        <f>IFERROR(VLOOKUP(Z35,'미니게임_DATA(순)'!$A$4:$C$45,3,0),"-")</f>
        <v>-</v>
      </c>
      <c r="Z35" s="187">
        <f t="shared" si="24"/>
        <v>0</v>
      </c>
      <c r="AA35" s="169"/>
      <c r="AB35" s="169"/>
    </row>
    <row r="36" spans="2:28" s="172" customFormat="1">
      <c r="B36" s="169"/>
      <c r="C36" s="538"/>
      <c r="D36" s="188"/>
      <c r="E36" s="275">
        <f>IFERROR(VLOOKUP(D36,'미니게임_DATA(순)'!$A$4:$EV$60,142,0),0)</f>
        <v>0</v>
      </c>
      <c r="F36" s="275"/>
      <c r="G36" s="527"/>
      <c r="H36" s="527"/>
      <c r="I36" s="275">
        <f>IFERROR(VLOOKUP(D36,'미니게임_DATA(순)'!$A$4:$EV$60,146,0),0)</f>
        <v>0</v>
      </c>
      <c r="J36" s="275"/>
      <c r="K36" s="527"/>
      <c r="L36" s="527"/>
      <c r="M36" s="275">
        <f>IFERROR(VLOOKUP(D36,'미니게임_DATA(순)'!$A$4:$EV$60,144,0),0)</f>
        <v>0</v>
      </c>
      <c r="N36" s="275"/>
      <c r="O36" s="527"/>
      <c r="P36" s="527"/>
      <c r="Q36" s="275">
        <f t="shared" si="0"/>
        <v>0</v>
      </c>
      <c r="R36" s="276">
        <f t="shared" ref="R36:R37" si="26">Q36/3</f>
        <v>0</v>
      </c>
      <c r="S36" s="530"/>
      <c r="T36" s="533"/>
      <c r="U36" s="190">
        <f>IFERROR(R36-VLOOKUP(D36,'미니게임_DATA(순)'!$A:$FB,MATCH("rct 20g avg",'미니게임_DATA(순)'!$A$3:$FB$3,0),0),0)</f>
        <v>0</v>
      </c>
      <c r="W36" s="185">
        <f t="shared" si="23"/>
        <v>0</v>
      </c>
      <c r="X36" s="267">
        <f>R36</f>
        <v>0</v>
      </c>
      <c r="Y36" s="267" t="str">
        <f>IFERROR(VLOOKUP(Z36,'미니게임_DATA(순)'!$A$4:$C$45,3,0),"-")</f>
        <v>-</v>
      </c>
      <c r="Z36" s="187">
        <f t="shared" si="24"/>
        <v>0</v>
      </c>
      <c r="AA36" s="169"/>
      <c r="AB36" s="169"/>
    </row>
    <row r="37" spans="2:28">
      <c r="C37" s="538"/>
      <c r="D37" s="188"/>
      <c r="E37" s="279"/>
      <c r="F37" s="279"/>
      <c r="G37" s="527"/>
      <c r="H37" s="527"/>
      <c r="I37" s="279"/>
      <c r="J37" s="279"/>
      <c r="K37" s="527"/>
      <c r="L37" s="527"/>
      <c r="M37" s="279"/>
      <c r="N37" s="279"/>
      <c r="O37" s="527"/>
      <c r="P37" s="527"/>
      <c r="Q37" s="279">
        <f t="shared" si="0"/>
        <v>0</v>
      </c>
      <c r="R37" s="276">
        <f t="shared" si="26"/>
        <v>0</v>
      </c>
      <c r="S37" s="530"/>
      <c r="T37" s="533"/>
      <c r="U37" s="190">
        <f>IFERROR(R37-VLOOKUP(D37,'미니게임_DATA(순)'!$A:$FB,MATCH("rct 20g avg",'미니게임_DATA(순)'!$A$3:$FB$3,0),0),0)</f>
        <v>0</v>
      </c>
      <c r="W37" s="185"/>
      <c r="Y37" s="267" t="str">
        <f>IFERROR(VLOOKUP(Z37,'미니게임_DATA(순)'!$A$4:$C$45,3,0),"-")</f>
        <v>-</v>
      </c>
      <c r="Z37" s="187">
        <f t="shared" si="24"/>
        <v>0</v>
      </c>
    </row>
    <row r="38" spans="2:28" ht="16.5">
      <c r="C38" s="539"/>
      <c r="D38" s="459"/>
      <c r="E38" s="535">
        <f>SUMIF(E34:F36, "&gt;0")</f>
        <v>0</v>
      </c>
      <c r="F38" s="498"/>
      <c r="G38" s="528"/>
      <c r="H38" s="528"/>
      <c r="I38" s="535">
        <f>SUMIF(I34:J36, "&gt;0")</f>
        <v>0</v>
      </c>
      <c r="J38" s="498"/>
      <c r="K38" s="528"/>
      <c r="L38" s="528"/>
      <c r="M38" s="535">
        <f>SUMIF(M34:N36, "&gt;0")</f>
        <v>0</v>
      </c>
      <c r="N38" s="536"/>
      <c r="O38" s="528"/>
      <c r="P38" s="528"/>
      <c r="Q38" s="272">
        <f t="shared" si="0"/>
        <v>0</v>
      </c>
      <c r="R38" s="196"/>
      <c r="S38" s="531"/>
      <c r="T38" s="534"/>
      <c r="U38" s="277">
        <f>IFERROR(R38-VLOOKUP(D38,'미니게임_DATA(순)'!$A:$FB,MATCH("rct 20g avg",'미니게임_DATA(순)'!$A$3:$FB$3,0),0),0)</f>
        <v>0</v>
      </c>
      <c r="V38" s="185"/>
      <c r="W38" s="185"/>
      <c r="Y38" s="267" t="str">
        <f>IFERROR(VLOOKUP(Z38,'미니게임_DATA(순)'!$A$4:$C$45,3,0),"-")</f>
        <v>-</v>
      </c>
      <c r="Z38" s="187">
        <f>D38</f>
        <v>0</v>
      </c>
      <c r="AA38" s="187">
        <f>SUM(E38,I38)</f>
        <v>0</v>
      </c>
    </row>
    <row r="39" spans="2:28">
      <c r="C39" s="537" t="s">
        <v>373</v>
      </c>
      <c r="D39" s="180"/>
      <c r="E39" s="275">
        <f>IFERROR(VLOOKUP(D39,'미니게임_DATA(순)'!$A$4:$EV$50,124,0),0)</f>
        <v>0</v>
      </c>
      <c r="F39" s="273"/>
      <c r="G39" s="526">
        <f>RANK(E43,($E$18,$E$23,$E$28,$E$33,E$38,$E$43))</f>
        <v>5</v>
      </c>
      <c r="H39" s="526">
        <f t="shared" ref="H39" si="27">G39</f>
        <v>5</v>
      </c>
      <c r="I39" s="275">
        <f>IFERROR(VLOOKUP(D39,'미니게임_DATA(순)'!$A$4:$EV$50,125,0),0)</f>
        <v>0</v>
      </c>
      <c r="J39" s="273"/>
      <c r="K39" s="526">
        <f>RANK(I43,($I$18,$I$23,$I$28,$I$33,I$38,$I$43))</f>
        <v>5</v>
      </c>
      <c r="L39" s="526">
        <f>RANK(AA43,($AA$18,$AA$23,$AA$28,$AA$33,$AA$38,$AA$43))</f>
        <v>5</v>
      </c>
      <c r="M39" s="275">
        <f>IFERROR(VLOOKUP(D39,'미니게임_DATA(순)'!$A$4:$EV$50,126,0),0)</f>
        <v>0</v>
      </c>
      <c r="N39" s="273"/>
      <c r="O39" s="526">
        <f>RANK(M43,($M$18,$M$23,$M$28,$M$33,$M$38,$M$43))</f>
        <v>5</v>
      </c>
      <c r="P39" s="526">
        <f t="shared" ref="P39" si="28">S39</f>
        <v>5</v>
      </c>
      <c r="Q39" s="273">
        <f t="shared" si="0"/>
        <v>0</v>
      </c>
      <c r="R39" s="274">
        <f>AVERAGE(E39,I39,M39)</f>
        <v>0</v>
      </c>
      <c r="S39" s="529">
        <f>RANK(Q43,($Q$18,$Q$23,$Q$28,$Q$33,$Q$38,$Q$43))</f>
        <v>5</v>
      </c>
      <c r="T39" s="532">
        <f>MAX($Q$18,$Q$23,Q$28,Q$33,Q$38)-Q43</f>
        <v>1364</v>
      </c>
      <c r="U39" s="184">
        <f>IFERROR(R39-VLOOKUP(D39,'미니게임_DATA(순)'!$A:$FB,MATCH("rct 20g avg",'미니게임_DATA(순)'!$A$3:$FB$3,0),0),0)</f>
        <v>0</v>
      </c>
      <c r="W39" s="185">
        <f t="shared" ref="W39:W41" si="29">MAX(E39,I39,M39)</f>
        <v>0</v>
      </c>
      <c r="X39" s="267">
        <f>R39</f>
        <v>0</v>
      </c>
      <c r="Y39" s="267" t="str">
        <f>IFERROR(VLOOKUP(Z39,'미니게임_DATA(순)'!$A$4:$C$45,3,0),"-")</f>
        <v>-</v>
      </c>
      <c r="Z39" s="187">
        <f t="shared" ref="Z39:Z42" si="30">D39</f>
        <v>0</v>
      </c>
    </row>
    <row r="40" spans="2:28">
      <c r="C40" s="538"/>
      <c r="D40" s="188"/>
      <c r="E40" s="275">
        <f>IFERROR(VLOOKUP(D40,'미니게임_DATA(순)'!$A$4:$EV$50,124,0),0)</f>
        <v>0</v>
      </c>
      <c r="F40" s="275"/>
      <c r="G40" s="527"/>
      <c r="H40" s="527"/>
      <c r="I40" s="275">
        <f>IFERROR(VLOOKUP(D40,'미니게임_DATA(순)'!$A$4:$EV$50,125,0),0)</f>
        <v>0</v>
      </c>
      <c r="J40" s="275"/>
      <c r="K40" s="527"/>
      <c r="L40" s="527"/>
      <c r="M40" s="275">
        <f>IFERROR(VLOOKUP(D40,'미니게임_DATA(순)'!$A$4:$EV$50,126,0),0)</f>
        <v>0</v>
      </c>
      <c r="N40" s="275"/>
      <c r="O40" s="527"/>
      <c r="P40" s="527"/>
      <c r="Q40" s="275">
        <f t="shared" si="0"/>
        <v>0</v>
      </c>
      <c r="R40" s="300">
        <f t="shared" ref="R40" si="31">AVERAGE(E40,I40,M40)</f>
        <v>0</v>
      </c>
      <c r="S40" s="530"/>
      <c r="T40" s="533"/>
      <c r="U40" s="190">
        <f>IFERROR(R40-VLOOKUP(D40,'미니게임_DATA(순)'!$A:$FB,MATCH("rct 20g avg",'미니게임_DATA(순)'!$A$3:$FB$3,0),0),0)</f>
        <v>0</v>
      </c>
      <c r="W40" s="185">
        <f t="shared" si="29"/>
        <v>0</v>
      </c>
      <c r="X40" s="267">
        <f>R40</f>
        <v>0</v>
      </c>
      <c r="Y40" s="267" t="str">
        <f>IFERROR(VLOOKUP(Z40,'미니게임_DATA(순)'!$A$4:$C$45,3,0),"-")</f>
        <v>-</v>
      </c>
      <c r="Z40" s="187">
        <f t="shared" si="30"/>
        <v>0</v>
      </c>
    </row>
    <row r="41" spans="2:28">
      <c r="C41" s="538"/>
      <c r="D41" s="188"/>
      <c r="E41" s="275">
        <f>IFERROR(VLOOKUP(D41,'미니게임_DATA(순)'!$A$4:$EV$50,124,0),0)</f>
        <v>0</v>
      </c>
      <c r="F41" s="275"/>
      <c r="G41" s="527"/>
      <c r="H41" s="527"/>
      <c r="I41" s="275">
        <f>IFERROR(VLOOKUP(D41,'미니게임_DATA(순)'!$A$4:$EV$50,125,0),0)</f>
        <v>0</v>
      </c>
      <c r="J41" s="275"/>
      <c r="K41" s="527"/>
      <c r="L41" s="527"/>
      <c r="M41" s="275">
        <f>IFERROR(VLOOKUP(D41,'미니게임_DATA(순)'!$A$4:$EV$50,126,0),0)</f>
        <v>0</v>
      </c>
      <c r="N41" s="275"/>
      <c r="O41" s="527"/>
      <c r="P41" s="527"/>
      <c r="Q41" s="275">
        <f t="shared" si="0"/>
        <v>0</v>
      </c>
      <c r="R41" s="276">
        <f t="shared" ref="R41:R42" si="32">Q41/3</f>
        <v>0</v>
      </c>
      <c r="S41" s="530"/>
      <c r="T41" s="533"/>
      <c r="U41" s="190">
        <f>IFERROR(R41-VLOOKUP(D41,'미니게임_DATA(순)'!$A:$FB,MATCH("rct 20g avg",'미니게임_DATA(순)'!$A$3:$FB$3,0),0),0)</f>
        <v>0</v>
      </c>
      <c r="W41" s="185">
        <f t="shared" si="29"/>
        <v>0</v>
      </c>
      <c r="X41" s="267">
        <f>R41</f>
        <v>0</v>
      </c>
      <c r="Y41" s="267" t="str">
        <f>IFERROR(VLOOKUP(Z41,'미니게임_DATA(순)'!$A$4:$C$45,3,0),"-")</f>
        <v>-</v>
      </c>
      <c r="Z41" s="187">
        <f t="shared" si="30"/>
        <v>0</v>
      </c>
    </row>
    <row r="42" spans="2:28">
      <c r="C42" s="538"/>
      <c r="D42" s="188"/>
      <c r="E42" s="279"/>
      <c r="F42" s="279"/>
      <c r="G42" s="527"/>
      <c r="H42" s="527"/>
      <c r="I42" s="279"/>
      <c r="J42" s="279"/>
      <c r="K42" s="527"/>
      <c r="L42" s="527"/>
      <c r="M42" s="279"/>
      <c r="N42" s="279"/>
      <c r="O42" s="527"/>
      <c r="P42" s="527"/>
      <c r="Q42" s="279">
        <f t="shared" si="0"/>
        <v>0</v>
      </c>
      <c r="R42" s="276">
        <f t="shared" si="32"/>
        <v>0</v>
      </c>
      <c r="S42" s="530"/>
      <c r="T42" s="533"/>
      <c r="U42" s="190">
        <f>IFERROR(R42-VLOOKUP(D42,'미니게임_DATA(순)'!$A:$FB,MATCH("rct 20g avg",'미니게임_DATA(순)'!$A$3:$FB$3,0),0),0)</f>
        <v>0</v>
      </c>
      <c r="W42" s="185"/>
      <c r="Y42" s="267" t="str">
        <f>IFERROR(VLOOKUP(Z42,'미니게임_DATA(순)'!$A$4:$C$45,3,0),"-")</f>
        <v>-</v>
      </c>
      <c r="Z42" s="187">
        <f t="shared" si="30"/>
        <v>0</v>
      </c>
    </row>
    <row r="43" spans="2:28" ht="16.5">
      <c r="C43" s="539"/>
      <c r="D43" s="459"/>
      <c r="E43" s="535">
        <f>SUMIF(E39:F41, "&gt;0")</f>
        <v>0</v>
      </c>
      <c r="F43" s="498"/>
      <c r="G43" s="528"/>
      <c r="H43" s="528"/>
      <c r="I43" s="535">
        <f>SUMIF(I39:J41, "&gt;0")</f>
        <v>0</v>
      </c>
      <c r="J43" s="498"/>
      <c r="K43" s="528"/>
      <c r="L43" s="528"/>
      <c r="M43" s="535">
        <f>SUMIF(M39:N41, "&gt;0")</f>
        <v>0</v>
      </c>
      <c r="N43" s="536"/>
      <c r="O43" s="528"/>
      <c r="P43" s="528"/>
      <c r="Q43" s="272">
        <f t="shared" si="0"/>
        <v>0</v>
      </c>
      <c r="R43" s="196"/>
      <c r="S43" s="531"/>
      <c r="T43" s="534"/>
      <c r="U43" s="277">
        <f>IFERROR(R43-VLOOKUP(D43,'미니게임_DATA(순)'!$A:$FB,MATCH("rct 20g avg",'미니게임_DATA(순)'!$A$3:$FB$3,0),0),0)</f>
        <v>0</v>
      </c>
      <c r="W43" s="185"/>
      <c r="Y43" s="267" t="str">
        <f>IFERROR(VLOOKUP(Z43,'미니게임_DATA(순)'!$A$4:$C$45,3,0),"-")</f>
        <v>-</v>
      </c>
      <c r="Z43" s="187">
        <f>D43</f>
        <v>0</v>
      </c>
      <c r="AA43" s="187">
        <f>SUM(E43,I43)</f>
        <v>0</v>
      </c>
    </row>
  </sheetData>
  <mergeCells count="89">
    <mergeCell ref="B2:B3"/>
    <mergeCell ref="B4:B5"/>
    <mergeCell ref="B6:B9"/>
    <mergeCell ref="D6:E6"/>
    <mergeCell ref="D7:E7"/>
    <mergeCell ref="D8:E8"/>
    <mergeCell ref="D9:E9"/>
    <mergeCell ref="U11:U13"/>
    <mergeCell ref="E12:H12"/>
    <mergeCell ref="I12:L12"/>
    <mergeCell ref="M12:P12"/>
    <mergeCell ref="C14:C18"/>
    <mergeCell ref="G14:G18"/>
    <mergeCell ref="H14:H18"/>
    <mergeCell ref="K14:K18"/>
    <mergeCell ref="L14:L18"/>
    <mergeCell ref="O14:O18"/>
    <mergeCell ref="C11:C13"/>
    <mergeCell ref="D11:D13"/>
    <mergeCell ref="E11:P11"/>
    <mergeCell ref="Q11:Q13"/>
    <mergeCell ref="R11:R13"/>
    <mergeCell ref="S11:T12"/>
    <mergeCell ref="P14:P18"/>
    <mergeCell ref="S14:S18"/>
    <mergeCell ref="T14:T18"/>
    <mergeCell ref="E18:F18"/>
    <mergeCell ref="I18:J18"/>
    <mergeCell ref="M18:N18"/>
    <mergeCell ref="C19:C23"/>
    <mergeCell ref="G19:G23"/>
    <mergeCell ref="H19:H23"/>
    <mergeCell ref="K19:K23"/>
    <mergeCell ref="L19:L23"/>
    <mergeCell ref="P19:P23"/>
    <mergeCell ref="S19:S23"/>
    <mergeCell ref="T19:T23"/>
    <mergeCell ref="E23:F23"/>
    <mergeCell ref="I23:J23"/>
    <mergeCell ref="M23:N23"/>
    <mergeCell ref="O19:O23"/>
    <mergeCell ref="C24:C28"/>
    <mergeCell ref="G24:G28"/>
    <mergeCell ref="H24:H28"/>
    <mergeCell ref="K24:K28"/>
    <mergeCell ref="L24:L28"/>
    <mergeCell ref="P24:P28"/>
    <mergeCell ref="S24:S28"/>
    <mergeCell ref="T24:T28"/>
    <mergeCell ref="E28:F28"/>
    <mergeCell ref="I28:J28"/>
    <mergeCell ref="M28:N28"/>
    <mergeCell ref="O24:O28"/>
    <mergeCell ref="C29:C33"/>
    <mergeCell ref="G29:G33"/>
    <mergeCell ref="H29:H33"/>
    <mergeCell ref="K29:K33"/>
    <mergeCell ref="L29:L33"/>
    <mergeCell ref="P29:P33"/>
    <mergeCell ref="S29:S33"/>
    <mergeCell ref="T29:T33"/>
    <mergeCell ref="E33:F33"/>
    <mergeCell ref="I33:J33"/>
    <mergeCell ref="M33:N33"/>
    <mergeCell ref="O29:O33"/>
    <mergeCell ref="C34:C38"/>
    <mergeCell ref="G34:G38"/>
    <mergeCell ref="H34:H38"/>
    <mergeCell ref="K34:K38"/>
    <mergeCell ref="L34:L38"/>
    <mergeCell ref="P34:P38"/>
    <mergeCell ref="S34:S38"/>
    <mergeCell ref="T34:T38"/>
    <mergeCell ref="E38:F38"/>
    <mergeCell ref="I38:J38"/>
    <mergeCell ref="M38:N38"/>
    <mergeCell ref="O34:O38"/>
    <mergeCell ref="C39:C43"/>
    <mergeCell ref="G39:G43"/>
    <mergeCell ref="H39:H43"/>
    <mergeCell ref="K39:K43"/>
    <mergeCell ref="L39:L43"/>
    <mergeCell ref="P39:P43"/>
    <mergeCell ref="S39:S43"/>
    <mergeCell ref="T39:T43"/>
    <mergeCell ref="E43:F43"/>
    <mergeCell ref="I43:J43"/>
    <mergeCell ref="M43:N43"/>
    <mergeCell ref="O39:O43"/>
  </mergeCells>
  <phoneticPr fontId="2" type="noConversion"/>
  <conditionalFormatting sqref="G44:H1048576 O44:P1048576 K44:L1048576 O12:P13 G1:H13 K1:L13 O1:P10">
    <cfRule type="cellIs" dxfId="670" priority="51" operator="equal">
      <formula>1</formula>
    </cfRule>
  </conditionalFormatting>
  <conditionalFormatting sqref="P14:P33">
    <cfRule type="cellIs" dxfId="669" priority="49" operator="equal">
      <formula>1</formula>
    </cfRule>
  </conditionalFormatting>
  <conditionalFormatting sqref="G14:H14 H15:H33">
    <cfRule type="cellIs" dxfId="668" priority="50" operator="equal">
      <formula>1</formula>
    </cfRule>
  </conditionalFormatting>
  <conditionalFormatting sqref="K14:L14 L15:L18">
    <cfRule type="cellIs" dxfId="667" priority="48" operator="equal">
      <formula>1</formula>
    </cfRule>
  </conditionalFormatting>
  <conditionalFormatting sqref="O14">
    <cfRule type="cellIs" dxfId="666" priority="47" operator="equal">
      <formula>1</formula>
    </cfRule>
  </conditionalFormatting>
  <conditionalFormatting sqref="R5">
    <cfRule type="cellIs" dxfId="665" priority="46" operator="greaterThan">
      <formula>200</formula>
    </cfRule>
  </conditionalFormatting>
  <conditionalFormatting sqref="E2:E5">
    <cfRule type="cellIs" dxfId="664" priority="45" operator="greaterThan">
      <formula>199.5</formula>
    </cfRule>
  </conditionalFormatting>
  <conditionalFormatting sqref="E14:E17 E19:E22 E24:E27 E29:E31 I14:I17 I29:I32 I24:I27 I19:I22 M14:M17 M19:M22 M24:M27 M29:M32">
    <cfRule type="cellIs" dxfId="663" priority="44" operator="greaterThan">
      <formula>199.5</formula>
    </cfRule>
  </conditionalFormatting>
  <conditionalFormatting sqref="H34:H38">
    <cfRule type="cellIs" dxfId="662" priority="43" operator="equal">
      <formula>1</formula>
    </cfRule>
  </conditionalFormatting>
  <conditionalFormatting sqref="P34:P38">
    <cfRule type="cellIs" dxfId="661" priority="42" operator="equal">
      <formula>1</formula>
    </cfRule>
  </conditionalFormatting>
  <conditionalFormatting sqref="P39:P43">
    <cfRule type="cellIs" dxfId="660" priority="41" operator="equal">
      <formula>1</formula>
    </cfRule>
  </conditionalFormatting>
  <conditionalFormatting sqref="H39:H43">
    <cfRule type="cellIs" dxfId="659" priority="40" operator="equal">
      <formula>1</formula>
    </cfRule>
  </conditionalFormatting>
  <conditionalFormatting sqref="G19">
    <cfRule type="cellIs" dxfId="658" priority="39" operator="equal">
      <formula>1</formula>
    </cfRule>
  </conditionalFormatting>
  <conditionalFormatting sqref="G24">
    <cfRule type="cellIs" dxfId="657" priority="38" operator="equal">
      <formula>1</formula>
    </cfRule>
  </conditionalFormatting>
  <conditionalFormatting sqref="G29">
    <cfRule type="cellIs" dxfId="656" priority="37" operator="equal">
      <formula>1</formula>
    </cfRule>
  </conditionalFormatting>
  <conditionalFormatting sqref="G34">
    <cfRule type="cellIs" dxfId="655" priority="36" operator="equal">
      <formula>1</formula>
    </cfRule>
  </conditionalFormatting>
  <conditionalFormatting sqref="G39">
    <cfRule type="cellIs" dxfId="654" priority="35" operator="equal">
      <formula>1</formula>
    </cfRule>
  </conditionalFormatting>
  <conditionalFormatting sqref="K19">
    <cfRule type="cellIs" dxfId="653" priority="34" operator="equal">
      <formula>1</formula>
    </cfRule>
  </conditionalFormatting>
  <conditionalFormatting sqref="K24">
    <cfRule type="cellIs" dxfId="652" priority="33" operator="equal">
      <formula>1</formula>
    </cfRule>
  </conditionalFormatting>
  <conditionalFormatting sqref="K29">
    <cfRule type="cellIs" dxfId="651" priority="32" operator="equal">
      <formula>1</formula>
    </cfRule>
  </conditionalFormatting>
  <conditionalFormatting sqref="K34">
    <cfRule type="cellIs" dxfId="650" priority="31" operator="equal">
      <formula>1</formula>
    </cfRule>
  </conditionalFormatting>
  <conditionalFormatting sqref="K39">
    <cfRule type="cellIs" dxfId="649" priority="30" operator="equal">
      <formula>1</formula>
    </cfRule>
  </conditionalFormatting>
  <conditionalFormatting sqref="L19:L23">
    <cfRule type="cellIs" dxfId="648" priority="29" operator="equal">
      <formula>1</formula>
    </cfRule>
  </conditionalFormatting>
  <conditionalFormatting sqref="L24:L28">
    <cfRule type="cellIs" dxfId="647" priority="28" operator="equal">
      <formula>1</formula>
    </cfRule>
  </conditionalFormatting>
  <conditionalFormatting sqref="L29:L33">
    <cfRule type="cellIs" dxfId="646" priority="27" operator="equal">
      <formula>1</formula>
    </cfRule>
  </conditionalFormatting>
  <conditionalFormatting sqref="L34:L38">
    <cfRule type="cellIs" dxfId="645" priority="26" operator="equal">
      <formula>1</formula>
    </cfRule>
  </conditionalFormatting>
  <conditionalFormatting sqref="L39:L43">
    <cfRule type="cellIs" dxfId="644" priority="25" operator="equal">
      <formula>1</formula>
    </cfRule>
  </conditionalFormatting>
  <conditionalFormatting sqref="O19">
    <cfRule type="cellIs" dxfId="643" priority="24" operator="equal">
      <formula>1</formula>
    </cfRule>
  </conditionalFormatting>
  <conditionalFormatting sqref="O24">
    <cfRule type="cellIs" dxfId="642" priority="23" operator="equal">
      <formula>1</formula>
    </cfRule>
  </conditionalFormatting>
  <conditionalFormatting sqref="O29">
    <cfRule type="cellIs" dxfId="641" priority="22" operator="equal">
      <formula>1</formula>
    </cfRule>
  </conditionalFormatting>
  <conditionalFormatting sqref="O34">
    <cfRule type="cellIs" dxfId="640" priority="21" operator="equal">
      <formula>1</formula>
    </cfRule>
  </conditionalFormatting>
  <conditionalFormatting sqref="O39">
    <cfRule type="cellIs" dxfId="639" priority="20" operator="equal">
      <formula>1</formula>
    </cfRule>
  </conditionalFormatting>
  <conditionalFormatting sqref="E39">
    <cfRule type="cellIs" dxfId="638" priority="19" operator="greaterThan">
      <formula>199.5</formula>
    </cfRule>
  </conditionalFormatting>
  <conditionalFormatting sqref="E40">
    <cfRule type="cellIs" dxfId="637" priority="18" operator="greaterThan">
      <formula>199.5</formula>
    </cfRule>
  </conditionalFormatting>
  <conditionalFormatting sqref="E41">
    <cfRule type="cellIs" dxfId="636" priority="17" operator="greaterThan">
      <formula>199.5</formula>
    </cfRule>
  </conditionalFormatting>
  <conditionalFormatting sqref="I41">
    <cfRule type="cellIs" dxfId="635" priority="14" operator="greaterThan">
      <formula>199.5</formula>
    </cfRule>
  </conditionalFormatting>
  <conditionalFormatting sqref="I39">
    <cfRule type="cellIs" dxfId="634" priority="16" operator="greaterThan">
      <formula>199.5</formula>
    </cfRule>
  </conditionalFormatting>
  <conditionalFormatting sqref="I40">
    <cfRule type="cellIs" dxfId="633" priority="15" operator="greaterThan">
      <formula>199.5</formula>
    </cfRule>
  </conditionalFormatting>
  <conditionalFormatting sqref="M39">
    <cfRule type="cellIs" dxfId="632" priority="13" operator="greaterThan">
      <formula>199.5</formula>
    </cfRule>
  </conditionalFormatting>
  <conditionalFormatting sqref="M40">
    <cfRule type="cellIs" dxfId="631" priority="12" operator="greaterThan">
      <formula>199.5</formula>
    </cfRule>
  </conditionalFormatting>
  <conditionalFormatting sqref="M41">
    <cfRule type="cellIs" dxfId="630" priority="11" operator="greaterThan">
      <formula>199.5</formula>
    </cfRule>
  </conditionalFormatting>
  <conditionalFormatting sqref="E36">
    <cfRule type="cellIs" dxfId="629" priority="10" operator="greaterThan">
      <formula>199.5</formula>
    </cfRule>
  </conditionalFormatting>
  <conditionalFormatting sqref="E35">
    <cfRule type="cellIs" dxfId="628" priority="9" operator="greaterThan">
      <formula>199.5</formula>
    </cfRule>
  </conditionalFormatting>
  <conditionalFormatting sqref="E34">
    <cfRule type="cellIs" dxfId="627" priority="8" operator="greaterThan">
      <formula>199.5</formula>
    </cfRule>
  </conditionalFormatting>
  <conditionalFormatting sqref="I34">
    <cfRule type="cellIs" dxfId="626" priority="7" operator="greaterThan">
      <formula>199.5</formula>
    </cfRule>
  </conditionalFormatting>
  <conditionalFormatting sqref="I35">
    <cfRule type="cellIs" dxfId="625" priority="6" operator="greaterThan">
      <formula>199.5</formula>
    </cfRule>
  </conditionalFormatting>
  <conditionalFormatting sqref="M34">
    <cfRule type="cellIs" dxfId="624" priority="4" operator="greaterThan">
      <formula>199.5</formula>
    </cfRule>
  </conditionalFormatting>
  <conditionalFormatting sqref="M35">
    <cfRule type="cellIs" dxfId="623" priority="3" operator="greaterThan">
      <formula>199.5</formula>
    </cfRule>
  </conditionalFormatting>
  <conditionalFormatting sqref="M36">
    <cfRule type="cellIs" dxfId="622" priority="2" operator="greaterThan">
      <formula>199.5</formula>
    </cfRule>
  </conditionalFormatting>
  <conditionalFormatting sqref="I36">
    <cfRule type="cellIs" dxfId="621" priority="1" operator="greaterThan">
      <formula>199.5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43"/>
  <sheetViews>
    <sheetView showGridLines="0" zoomScale="85" zoomScaleNormal="85" workbookViewId="0">
      <selection activeCell="AD40" sqref="AD40"/>
    </sheetView>
  </sheetViews>
  <sheetFormatPr defaultColWidth="9" defaultRowHeight="13.5"/>
  <cols>
    <col min="1" max="5" width="9" style="169"/>
    <col min="6" max="8" width="5.375" style="169" customWidth="1"/>
    <col min="9" max="9" width="9" style="169"/>
    <col min="10" max="12" width="5.375" style="169" customWidth="1"/>
    <col min="13" max="13" width="9" style="169"/>
    <col min="14" max="16" width="5.375" style="169" customWidth="1"/>
    <col min="17" max="17" width="7.375" style="170" customWidth="1"/>
    <col min="18" max="18" width="7.375" style="171" customWidth="1"/>
    <col min="19" max="20" width="7.375" style="169" customWidth="1"/>
    <col min="21" max="21" width="9" style="169"/>
    <col min="22" max="22" width="9" style="172" customWidth="1"/>
    <col min="23" max="23" width="9" style="172" hidden="1" customWidth="1"/>
    <col min="24" max="25" width="9" style="267" hidden="1" customWidth="1"/>
    <col min="26" max="27" width="9" style="169" hidden="1" customWidth="1"/>
    <col min="28" max="29" width="9" style="169" customWidth="1"/>
    <col min="30" max="16384" width="9" style="169"/>
  </cols>
  <sheetData>
    <row r="2" spans="2:35">
      <c r="B2" s="550" t="s">
        <v>154</v>
      </c>
      <c r="C2" s="166" t="s">
        <v>156</v>
      </c>
      <c r="D2" s="167" t="str">
        <f>VLOOKUP(E2,W14:Z37,4,0)</f>
        <v>정동현</v>
      </c>
      <c r="E2" s="198">
        <f t="array" ref="E2">MAX(IF(Y14:Y38="남",W14:W38))</f>
        <v>211</v>
      </c>
      <c r="F2" s="268"/>
    </row>
    <row r="3" spans="2:35">
      <c r="B3" s="551"/>
      <c r="C3" s="166" t="s">
        <v>157</v>
      </c>
      <c r="D3" s="167" t="str">
        <f>VLOOKUP(E3,W15:Z38,4,0)</f>
        <v>성소라</v>
      </c>
      <c r="E3" s="198">
        <f t="array" ref="E3">MAX(IF(Y15:Y39="여",W15:W39))</f>
        <v>194</v>
      </c>
      <c r="F3" s="268"/>
    </row>
    <row r="4" spans="2:35">
      <c r="B4" s="550" t="s">
        <v>158</v>
      </c>
      <c r="C4" s="166" t="s">
        <v>156</v>
      </c>
      <c r="D4" s="167" t="s">
        <v>241</v>
      </c>
      <c r="E4" s="168">
        <f t="array" ref="E4">MAX(IF(Y14:Y38="남",X14:X38))</f>
        <v>171.33333333333334</v>
      </c>
      <c r="F4" s="268"/>
    </row>
    <row r="5" spans="2:35">
      <c r="B5" s="551"/>
      <c r="C5" s="166" t="s">
        <v>157</v>
      </c>
      <c r="D5" s="167" t="str">
        <f>VLOOKUP(E5,X15:Z39,3,0)</f>
        <v>오수인</v>
      </c>
      <c r="E5" s="168">
        <f t="array" ref="E5">MAX(IF(Y14:Y38="여",X14:X38))</f>
        <v>171.33333333333334</v>
      </c>
      <c r="F5" s="268"/>
    </row>
    <row r="6" spans="2:35" ht="16.5">
      <c r="B6" s="550" t="s">
        <v>224</v>
      </c>
      <c r="C6" s="235" t="s">
        <v>154</v>
      </c>
      <c r="D6" s="554" t="s">
        <v>13</v>
      </c>
      <c r="E6" s="472"/>
      <c r="F6" s="269"/>
    </row>
    <row r="7" spans="2:35" ht="16.5">
      <c r="B7" s="552"/>
      <c r="C7" s="235" t="s">
        <v>226</v>
      </c>
      <c r="D7" s="554" t="s">
        <v>498</v>
      </c>
      <c r="E7" s="472"/>
      <c r="F7" s="269"/>
    </row>
    <row r="8" spans="2:35" ht="16.5">
      <c r="B8" s="552"/>
      <c r="C8" s="235" t="s">
        <v>88</v>
      </c>
      <c r="D8" s="554"/>
      <c r="E8" s="498"/>
      <c r="F8" s="270"/>
    </row>
    <row r="9" spans="2:35" ht="16.5">
      <c r="B9" s="553"/>
      <c r="C9" s="235" t="s">
        <v>227</v>
      </c>
      <c r="D9" s="554"/>
      <c r="E9" s="472"/>
      <c r="F9" s="269"/>
      <c r="G9" s="386"/>
    </row>
    <row r="11" spans="2:35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545"/>
      <c r="M11" s="545"/>
      <c r="N11" s="546"/>
      <c r="O11" s="546"/>
      <c r="P11" s="496"/>
      <c r="Q11" s="547" t="s">
        <v>142</v>
      </c>
      <c r="R11" s="548" t="s">
        <v>184</v>
      </c>
      <c r="S11" s="542" t="s">
        <v>169</v>
      </c>
      <c r="T11" s="542"/>
      <c r="U11" s="542" t="s">
        <v>335</v>
      </c>
    </row>
    <row r="12" spans="2:35">
      <c r="C12" s="543"/>
      <c r="D12" s="543"/>
      <c r="E12" s="543">
        <v>1</v>
      </c>
      <c r="F12" s="543"/>
      <c r="G12" s="543"/>
      <c r="H12" s="543"/>
      <c r="I12" s="543">
        <v>2</v>
      </c>
      <c r="J12" s="543"/>
      <c r="K12" s="543"/>
      <c r="L12" s="543"/>
      <c r="M12" s="543">
        <v>3</v>
      </c>
      <c r="N12" s="543"/>
      <c r="O12" s="543"/>
      <c r="P12" s="543"/>
      <c r="Q12" s="547"/>
      <c r="R12" s="549"/>
      <c r="S12" s="542"/>
      <c r="T12" s="542"/>
      <c r="U12" s="542"/>
      <c r="AB12" s="172"/>
    </row>
    <row r="13" spans="2:35" ht="27">
      <c r="C13" s="543"/>
      <c r="D13" s="543"/>
      <c r="E13" s="452" t="s">
        <v>150</v>
      </c>
      <c r="F13" s="451" t="s">
        <v>302</v>
      </c>
      <c r="G13" s="451" t="s">
        <v>152</v>
      </c>
      <c r="H13" s="451" t="s">
        <v>153</v>
      </c>
      <c r="I13" s="452" t="s">
        <v>150</v>
      </c>
      <c r="J13" s="451" t="s">
        <v>302</v>
      </c>
      <c r="K13" s="451" t="s">
        <v>152</v>
      </c>
      <c r="L13" s="451" t="s">
        <v>153</v>
      </c>
      <c r="M13" s="452" t="s">
        <v>150</v>
      </c>
      <c r="N13" s="451" t="s">
        <v>302</v>
      </c>
      <c r="O13" s="451" t="s">
        <v>152</v>
      </c>
      <c r="P13" s="451" t="s">
        <v>153</v>
      </c>
      <c r="Q13" s="547"/>
      <c r="R13" s="549"/>
      <c r="S13" s="451" t="s">
        <v>144</v>
      </c>
      <c r="T13" s="452" t="s">
        <v>168</v>
      </c>
      <c r="U13" s="543"/>
      <c r="W13" s="172" t="s">
        <v>170</v>
      </c>
      <c r="X13" s="267" t="s">
        <v>171</v>
      </c>
    </row>
    <row r="14" spans="2:35">
      <c r="C14" s="540" t="s">
        <v>494</v>
      </c>
      <c r="D14" s="180" t="s">
        <v>282</v>
      </c>
      <c r="E14" s="275">
        <f>IFERROR(VLOOKUP(D14,'미니게임_DATA(순)'!$A$4:$EV$60,142,0),0)</f>
        <v>147</v>
      </c>
      <c r="F14" s="273"/>
      <c r="G14" s="526">
        <f>RANK(E18,($E$18,$E$23,$E$28,$E$33,E$38,$E$43))</f>
        <v>1</v>
      </c>
      <c r="H14" s="526">
        <f>G14</f>
        <v>1</v>
      </c>
      <c r="I14" s="275">
        <f>IFERROR(VLOOKUP(D14,'미니게임_DATA(순)'!$A$4:$EV$60,143,0),0)</f>
        <v>167</v>
      </c>
      <c r="J14" s="273"/>
      <c r="K14" s="526">
        <f>RANK(I18,($I$18,$I$23,$I$28,$I$33,I$38,$I$43))</f>
        <v>1</v>
      </c>
      <c r="L14" s="526">
        <f>RANK(AA18,($AA$18,$AA$23,$AA$28,$AA$33,$AA$38,$AA$43))</f>
        <v>1</v>
      </c>
      <c r="M14" s="275">
        <f>IFERROR(VLOOKUP(D14,'미니게임_DATA(순)'!$A$4:$EV$60,144,0),0)</f>
        <v>184</v>
      </c>
      <c r="N14" s="273"/>
      <c r="O14" s="526">
        <f>RANK(M18,($M$18,$M$23,$M$28,$M$33,$M$38,$M$43))</f>
        <v>1</v>
      </c>
      <c r="P14" s="526">
        <f>S14</f>
        <v>1</v>
      </c>
      <c r="Q14" s="273">
        <f t="shared" ref="Q14:Q43" si="0">E14+I14+M14</f>
        <v>498</v>
      </c>
      <c r="R14" s="274">
        <f>AVERAGE(E14,I14,M14)</f>
        <v>166</v>
      </c>
      <c r="S14" s="529">
        <f>RANK(Q18,($Q$18,$Q$23,$Q$28,$Q$33,$Q$38,$Q$43))</f>
        <v>1</v>
      </c>
      <c r="T14" s="541">
        <f>MAX($Q$18,$Q$23,Q$28,Q$33,Q$38)-Q18</f>
        <v>0</v>
      </c>
      <c r="U14" s="184">
        <f>IFERROR(R14-VLOOKUP(D14,'미니게임_DATA(순)'!$A:$FB,MATCH("rct 20g avg",'미니게임_DATA(순)'!$A$3:$FB$3,0),0),0)</f>
        <v>2.25</v>
      </c>
      <c r="W14" s="185">
        <f>MAX(E14,I14,M14)</f>
        <v>184</v>
      </c>
      <c r="X14" s="267">
        <f>R14</f>
        <v>166</v>
      </c>
      <c r="Y14" s="267" t="str">
        <f>VLOOKUP(Z14,'미니게임_DATA(순)'!$A$4:$C$60,3,0)</f>
        <v>여</v>
      </c>
      <c r="Z14" s="187" t="str">
        <f>D14</f>
        <v>손하은</v>
      </c>
      <c r="AI14" s="169" t="s">
        <v>299</v>
      </c>
    </row>
    <row r="15" spans="2:35">
      <c r="C15" s="538"/>
      <c r="D15" s="188" t="s">
        <v>13</v>
      </c>
      <c r="E15" s="275">
        <f>IFERROR(VLOOKUP(D15,'미니게임_DATA(순)'!$A$4:$EV$60,142,0),0)</f>
        <v>166</v>
      </c>
      <c r="F15" s="275"/>
      <c r="G15" s="527"/>
      <c r="H15" s="527"/>
      <c r="I15" s="275">
        <f>IFERROR(VLOOKUP(D15,'미니게임_DATA(순)'!$A$4:$EV$60,143,0),0)</f>
        <v>211</v>
      </c>
      <c r="J15" s="275"/>
      <c r="K15" s="527"/>
      <c r="L15" s="527"/>
      <c r="M15" s="275">
        <f>IFERROR(VLOOKUP(D15,'미니게임_DATA(순)'!$A$4:$EV$60,144,0),0)</f>
        <v>134</v>
      </c>
      <c r="N15" s="275"/>
      <c r="O15" s="527"/>
      <c r="P15" s="527"/>
      <c r="Q15" s="275">
        <f t="shared" si="0"/>
        <v>511</v>
      </c>
      <c r="R15" s="300">
        <f t="shared" ref="R15:R16" si="1">AVERAGE(E15,I15,M15)</f>
        <v>170.33333333333334</v>
      </c>
      <c r="S15" s="530"/>
      <c r="T15" s="527"/>
      <c r="U15" s="190">
        <f>IFERROR(R15-VLOOKUP(D15,'미니게임_DATA(순)'!$A:$FB,MATCH("rct 20g avg",'미니게임_DATA(순)'!$A$3:$FB$3,0),0),0)</f>
        <v>13.233333333333348</v>
      </c>
      <c r="W15" s="185">
        <f t="shared" ref="W15:W16" si="2">MAX(E15,I15,M15)</f>
        <v>211</v>
      </c>
      <c r="X15" s="267">
        <f t="shared" ref="X15:X16" si="3">R15</f>
        <v>170.33333333333334</v>
      </c>
      <c r="Y15" s="267" t="str">
        <f>VLOOKUP(Z15,'미니게임_DATA(순)'!$A$4:$C$60,3,0)</f>
        <v>남</v>
      </c>
      <c r="Z15" s="187" t="str">
        <f>D15</f>
        <v>정동현</v>
      </c>
    </row>
    <row r="16" spans="2:35">
      <c r="C16" s="538"/>
      <c r="D16" s="188" t="s">
        <v>281</v>
      </c>
      <c r="E16" s="275">
        <f>IFERROR(VLOOKUP(D16,'미니게임_DATA(순)'!$A$4:$EV$60,142,0),0)</f>
        <v>188</v>
      </c>
      <c r="F16" s="275"/>
      <c r="G16" s="527"/>
      <c r="H16" s="527"/>
      <c r="I16" s="275">
        <f>IFERROR(VLOOKUP(D16,'미니게임_DATA(순)'!$A$4:$EV$60,143,0),0)</f>
        <v>147</v>
      </c>
      <c r="J16" s="275"/>
      <c r="K16" s="527"/>
      <c r="L16" s="527"/>
      <c r="M16" s="275">
        <f>IFERROR(VLOOKUP(D16,'미니게임_DATA(순)'!$A$4:$EV$60,144,0),0)</f>
        <v>179</v>
      </c>
      <c r="N16" s="275"/>
      <c r="O16" s="527"/>
      <c r="P16" s="527"/>
      <c r="Q16" s="275">
        <f t="shared" si="0"/>
        <v>514</v>
      </c>
      <c r="R16" s="276">
        <f t="shared" si="1"/>
        <v>171.33333333333334</v>
      </c>
      <c r="S16" s="530"/>
      <c r="T16" s="527"/>
      <c r="U16" s="190">
        <f>IFERROR(R16-VLOOKUP(D16,'미니게임_DATA(순)'!$A:$FB,MATCH("rct 20g avg",'미니게임_DATA(순)'!$A$3:$FB$3,0),0),0)</f>
        <v>10.683333333333337</v>
      </c>
      <c r="W16" s="185">
        <f t="shared" si="2"/>
        <v>188</v>
      </c>
      <c r="X16" s="267">
        <f t="shared" si="3"/>
        <v>171.33333333333334</v>
      </c>
      <c r="Y16" s="267" t="str">
        <f>VLOOKUP(Z16,'미니게임_DATA(순)'!$A$4:$C$60,3,0)</f>
        <v>여</v>
      </c>
      <c r="Z16" s="187" t="str">
        <f>D16</f>
        <v>오수인</v>
      </c>
    </row>
    <row r="17" spans="3:27">
      <c r="C17" s="538"/>
      <c r="D17" s="191"/>
      <c r="E17" s="279"/>
      <c r="F17" s="279"/>
      <c r="G17" s="527"/>
      <c r="H17" s="527"/>
      <c r="I17" s="279"/>
      <c r="J17" s="279"/>
      <c r="K17" s="527"/>
      <c r="L17" s="527"/>
      <c r="M17" s="279"/>
      <c r="N17" s="279"/>
      <c r="O17" s="527"/>
      <c r="P17" s="527"/>
      <c r="Q17" s="279">
        <f t="shared" si="0"/>
        <v>0</v>
      </c>
      <c r="R17" s="276">
        <f t="shared" ref="R17" si="4">Q17/3</f>
        <v>0</v>
      </c>
      <c r="S17" s="530"/>
      <c r="T17" s="527"/>
      <c r="U17" s="190">
        <f>IFERROR(R17-VLOOKUP(D17,'미니게임_DATA(순)'!$A:$FB,MATCH("rct 20g avg",'미니게임_DATA(순)'!$A$3:$FB$3,0),0),0)</f>
        <v>0</v>
      </c>
      <c r="W17" s="185"/>
      <c r="Z17" s="187"/>
    </row>
    <row r="18" spans="3:27" ht="16.5">
      <c r="C18" s="539"/>
      <c r="D18" s="453"/>
      <c r="E18" s="535">
        <f>SUMIF(E14:F17, "&gt;0")</f>
        <v>501</v>
      </c>
      <c r="F18" s="498"/>
      <c r="G18" s="528"/>
      <c r="H18" s="528"/>
      <c r="I18" s="535">
        <f>SUMIF(I14:J17, "&gt;0")</f>
        <v>525</v>
      </c>
      <c r="J18" s="498"/>
      <c r="K18" s="528"/>
      <c r="L18" s="528"/>
      <c r="M18" s="535">
        <f>SUMIF(M14:N17, "&gt;0")</f>
        <v>497</v>
      </c>
      <c r="N18" s="498"/>
      <c r="O18" s="528"/>
      <c r="P18" s="528"/>
      <c r="Q18" s="272">
        <f t="shared" si="0"/>
        <v>1523</v>
      </c>
      <c r="R18" s="196"/>
      <c r="S18" s="531"/>
      <c r="T18" s="528"/>
      <c r="U18" s="277">
        <f>IFERROR(R18-VLOOKUP(D18,'미니게임_DATA(순)'!$A:$FB,MATCH("rct 20g avg",'미니게임_DATA(순)'!$A$3:$FB$3,0),0),0)</f>
        <v>0</v>
      </c>
      <c r="V18" s="185"/>
      <c r="W18" s="185"/>
      <c r="Z18" s="187">
        <f>D18</f>
        <v>0</v>
      </c>
      <c r="AA18" s="187">
        <f>SUM(E18,I18)</f>
        <v>1026</v>
      </c>
    </row>
    <row r="19" spans="3:27">
      <c r="C19" s="540" t="s">
        <v>488</v>
      </c>
      <c r="D19" s="180" t="s">
        <v>38</v>
      </c>
      <c r="E19" s="275">
        <f>IFERROR(VLOOKUP(D19,'미니게임_DATA(순)'!$A$4:$EV$60,142,0),0)</f>
        <v>126</v>
      </c>
      <c r="F19" s="273"/>
      <c r="G19" s="526">
        <f>RANK(E23,($E$18,$E$23,$E$28,$E$33,E$38,$E$43))</f>
        <v>5</v>
      </c>
      <c r="H19" s="526">
        <f t="shared" ref="H19" si="5">G19</f>
        <v>5</v>
      </c>
      <c r="I19" s="275">
        <f>IFERROR(VLOOKUP(D19,'미니게임_DATA(순)'!$A$4:$EV$60,143,0),0)</f>
        <v>181</v>
      </c>
      <c r="J19" s="273"/>
      <c r="K19" s="526">
        <f>RANK(I23,($I$18,$I$23,$I$28,$I$33,I$38,$I$43))</f>
        <v>3</v>
      </c>
      <c r="L19" s="526">
        <f>RANK(AA23,($AA$18,$AA$23,$AA$28,$AA$33,$AA$38,$AA$43))</f>
        <v>4</v>
      </c>
      <c r="M19" s="275">
        <f>IFERROR(VLOOKUP(D19,'미니게임_DATA(순)'!$A$4:$EV$60,144,0),0)</f>
        <v>157</v>
      </c>
      <c r="N19" s="273"/>
      <c r="O19" s="526">
        <f>RANK(M23,($M$18,$M$23,$M$28,$M$33,$M$38,$M$43))</f>
        <v>2</v>
      </c>
      <c r="P19" s="526">
        <f t="shared" ref="P19" si="6">S19</f>
        <v>3</v>
      </c>
      <c r="Q19" s="273">
        <f t="shared" si="0"/>
        <v>464</v>
      </c>
      <c r="R19" s="274">
        <f>AVERAGE(E19,I19,M19)</f>
        <v>154.66666666666666</v>
      </c>
      <c r="S19" s="529">
        <f>RANK(Q23,($Q$18,$Q$23,$Q$28,$Q$33,$Q$38,$Q$43))</f>
        <v>3</v>
      </c>
      <c r="T19" s="532">
        <f>MAX($Q$18,$Q$23,Q$28,Q$33,Q$38)-Q23</f>
        <v>211</v>
      </c>
      <c r="U19" s="184">
        <f>IFERROR(R19-VLOOKUP(D19,'미니게임_DATA(순)'!$A:$FB,MATCH("rct 20g avg",'미니게임_DATA(순)'!$A$3:$FB$3,0),0),0)</f>
        <v>-3.6833333333333371</v>
      </c>
      <c r="W19" s="185">
        <f>MAX(E19,I19,M19)</f>
        <v>181</v>
      </c>
      <c r="X19" s="267">
        <f>R19</f>
        <v>154.66666666666666</v>
      </c>
      <c r="Y19" s="267" t="str">
        <f>VLOOKUP(Z19,'미니게임_DATA(순)'!$A$4:$C$60,3,0)</f>
        <v>남</v>
      </c>
      <c r="Z19" s="187" t="str">
        <f>D19</f>
        <v>이수용</v>
      </c>
    </row>
    <row r="20" spans="3:27">
      <c r="C20" s="538"/>
      <c r="D20" s="188" t="s">
        <v>11</v>
      </c>
      <c r="E20" s="275">
        <f>IFERROR(VLOOKUP(D20,'미니게임_DATA(순)'!$A$4:$EV$60,142,0),0)</f>
        <v>147</v>
      </c>
      <c r="F20" s="275"/>
      <c r="G20" s="527"/>
      <c r="H20" s="527"/>
      <c r="I20" s="275">
        <f>IFERROR(VLOOKUP(D20,'미니게임_DATA(순)'!$A$4:$EV$60,143,0),0)</f>
        <v>119</v>
      </c>
      <c r="J20" s="275"/>
      <c r="K20" s="527"/>
      <c r="L20" s="527"/>
      <c r="M20" s="275">
        <f>IFERROR(VLOOKUP(D20,'미니게임_DATA(순)'!$A$4:$EV$60,144,0),0)</f>
        <v>184</v>
      </c>
      <c r="N20" s="275"/>
      <c r="O20" s="527"/>
      <c r="P20" s="527"/>
      <c r="Q20" s="275">
        <f t="shared" si="0"/>
        <v>450</v>
      </c>
      <c r="R20" s="300">
        <f t="shared" ref="R20:R21" si="7">AVERAGE(E20,I20,M20)</f>
        <v>150</v>
      </c>
      <c r="S20" s="530"/>
      <c r="T20" s="533"/>
      <c r="U20" s="190">
        <f>IFERROR(R20-VLOOKUP(D20,'미니게임_DATA(순)'!$A:$FB,MATCH("rct 20g avg",'미니게임_DATA(순)'!$A$3:$FB$3,0),0),0)</f>
        <v>-8.1500000000000057</v>
      </c>
      <c r="W20" s="185">
        <f t="shared" ref="W20:W21" si="8">MAX(E20,I20,M20)</f>
        <v>184</v>
      </c>
      <c r="X20" s="267">
        <f>R20</f>
        <v>150</v>
      </c>
      <c r="Y20" s="267" t="str">
        <f>VLOOKUP(Z20,'미니게임_DATA(순)'!$A$4:$C$60,3,0)</f>
        <v>남</v>
      </c>
      <c r="Z20" s="187" t="str">
        <f>D20</f>
        <v>박용승</v>
      </c>
    </row>
    <row r="21" spans="3:27">
      <c r="C21" s="538"/>
      <c r="D21" s="188" t="s">
        <v>372</v>
      </c>
      <c r="E21" s="275">
        <f>IFERROR(VLOOKUP(D21,'미니게임_DATA(순)'!$A$4:$EV$60,142,0),0)</f>
        <v>79</v>
      </c>
      <c r="F21" s="275">
        <v>25</v>
      </c>
      <c r="G21" s="527"/>
      <c r="H21" s="527"/>
      <c r="I21" s="275">
        <f>IFERROR(VLOOKUP(D21,'미니게임_DATA(순)'!$A$4:$EV$60,143,0),0)</f>
        <v>125</v>
      </c>
      <c r="J21" s="275">
        <v>25</v>
      </c>
      <c r="K21" s="527"/>
      <c r="L21" s="527"/>
      <c r="M21" s="275">
        <f>IFERROR(VLOOKUP(D21,'미니게임_DATA(순)'!$A$4:$EV$60,144,0),0)</f>
        <v>119</v>
      </c>
      <c r="N21" s="275">
        <v>25</v>
      </c>
      <c r="O21" s="527"/>
      <c r="P21" s="527"/>
      <c r="Q21" s="275">
        <f t="shared" si="0"/>
        <v>323</v>
      </c>
      <c r="R21" s="276">
        <f t="shared" si="7"/>
        <v>107.66666666666667</v>
      </c>
      <c r="S21" s="530"/>
      <c r="T21" s="533"/>
      <c r="U21" s="190">
        <f>IFERROR(R21-VLOOKUP(D21,'미니게임_DATA(순)'!$A:$FB,MATCH("rct 20g avg",'미니게임_DATA(순)'!$A$3:$FB$3,0),0),0)</f>
        <v>10.916666666666671</v>
      </c>
      <c r="W21" s="185">
        <f t="shared" si="8"/>
        <v>125</v>
      </c>
      <c r="X21" s="267">
        <f>R21</f>
        <v>107.66666666666667</v>
      </c>
      <c r="Y21" s="267" t="str">
        <f>VLOOKUP(Z21,'미니게임_DATA(순)'!$A$4:$C$60,3,0)</f>
        <v>남</v>
      </c>
      <c r="Z21" s="187" t="str">
        <f>D21</f>
        <v>이경준</v>
      </c>
    </row>
    <row r="22" spans="3:27">
      <c r="C22" s="538"/>
      <c r="D22" s="188"/>
      <c r="E22" s="279"/>
      <c r="F22" s="279"/>
      <c r="G22" s="527"/>
      <c r="H22" s="527"/>
      <c r="I22" s="279"/>
      <c r="J22" s="279"/>
      <c r="K22" s="527"/>
      <c r="L22" s="527"/>
      <c r="M22" s="279"/>
      <c r="N22" s="279"/>
      <c r="O22" s="527"/>
      <c r="P22" s="527"/>
      <c r="Q22" s="279">
        <f t="shared" si="0"/>
        <v>0</v>
      </c>
      <c r="R22" s="276">
        <f t="shared" ref="R22" si="9">Q22/3</f>
        <v>0</v>
      </c>
      <c r="S22" s="530"/>
      <c r="T22" s="533"/>
      <c r="U22" s="190">
        <f>IFERROR(R22-VLOOKUP(D22,'미니게임_DATA(순)'!$A:$FB,MATCH("rct 20g avg",'미니게임_DATA(순)'!$A$3:$FB$3,0),0),0)</f>
        <v>0</v>
      </c>
      <c r="W22" s="185"/>
      <c r="Z22" s="187">
        <f>D22</f>
        <v>0</v>
      </c>
    </row>
    <row r="23" spans="3:27" ht="16.5">
      <c r="C23" s="539"/>
      <c r="D23" s="453"/>
      <c r="E23" s="535">
        <f>SUMIF(E19:F22, "&gt;0")</f>
        <v>377</v>
      </c>
      <c r="F23" s="498"/>
      <c r="G23" s="528"/>
      <c r="H23" s="528"/>
      <c r="I23" s="535">
        <f>SUMIF(I19:J22, "&gt;0")</f>
        <v>450</v>
      </c>
      <c r="J23" s="498"/>
      <c r="K23" s="528"/>
      <c r="L23" s="528"/>
      <c r="M23" s="535">
        <f>SUMIF(M19:N22, "&gt;0")</f>
        <v>485</v>
      </c>
      <c r="N23" s="498"/>
      <c r="O23" s="528"/>
      <c r="P23" s="528"/>
      <c r="Q23" s="272">
        <f t="shared" si="0"/>
        <v>1312</v>
      </c>
      <c r="R23" s="196"/>
      <c r="S23" s="531"/>
      <c r="T23" s="534"/>
      <c r="U23" s="277">
        <f>IFERROR(R23-VLOOKUP(D23,'미니게임_DATA(순)'!$A:$FB,MATCH("rct 20g avg",'미니게임_DATA(순)'!$A$3:$FB$3,0),0),0)</f>
        <v>0</v>
      </c>
      <c r="V23" s="185"/>
      <c r="W23" s="185"/>
      <c r="Z23" s="187">
        <f t="shared" ref="Z23:Z32" si="10">D23</f>
        <v>0</v>
      </c>
      <c r="AA23" s="187">
        <f>SUM(E23,I23)</f>
        <v>827</v>
      </c>
    </row>
    <row r="24" spans="3:27">
      <c r="C24" s="540" t="s">
        <v>495</v>
      </c>
      <c r="D24" s="180" t="s">
        <v>12</v>
      </c>
      <c r="E24" s="275">
        <f>IFERROR(VLOOKUP(D24,'미니게임_DATA(순)'!$A$4:$EV$60,142,0),0)</f>
        <v>194</v>
      </c>
      <c r="F24" s="273"/>
      <c r="G24" s="526">
        <f>RANK(E28,($E$18,$E$23,$E$28,$E$33,E$38,$E$43))</f>
        <v>3</v>
      </c>
      <c r="H24" s="526">
        <f t="shared" ref="H24" si="11">G24</f>
        <v>3</v>
      </c>
      <c r="I24" s="275">
        <f>IFERROR(VLOOKUP(D24,'미니게임_DATA(순)'!$A$4:$EV$60,143,0),0)</f>
        <v>146</v>
      </c>
      <c r="J24" s="273"/>
      <c r="K24" s="526">
        <f>RANK(I28,($I$18,$I$23,$I$28,$I$33,I$38,$I$43))</f>
        <v>5</v>
      </c>
      <c r="L24" s="526">
        <f>RANK(AA28,($AA$18,$AA$23,$AA$28,$AA$33,$AA$38,$AA$43))</f>
        <v>5</v>
      </c>
      <c r="M24" s="275">
        <f>IFERROR(VLOOKUP(D24,'미니게임_DATA(순)'!$A$4:$EV$60,144,0),0)</f>
        <v>126</v>
      </c>
      <c r="N24" s="273"/>
      <c r="O24" s="526">
        <f>RANK(M28,($M$18,$M$23,$M$28,$M$33,$M$38,$M$43))</f>
        <v>5</v>
      </c>
      <c r="P24" s="526">
        <f t="shared" ref="P24" si="12">S24</f>
        <v>5</v>
      </c>
      <c r="Q24" s="273">
        <f t="shared" si="0"/>
        <v>466</v>
      </c>
      <c r="R24" s="274">
        <f>AVERAGE(E24,I24,M24)</f>
        <v>155.33333333333334</v>
      </c>
      <c r="S24" s="529">
        <f>RANK(Q28,($Q$18,$Q$23,$Q$28,$Q$33,$Q$38,$Q$43))</f>
        <v>5</v>
      </c>
      <c r="T24" s="532">
        <f>MAX($Q$18,$Q$23,Q$28,Q$33,Q$38)-Q28</f>
        <v>327</v>
      </c>
      <c r="U24" s="184">
        <f>IFERROR(R24-VLOOKUP(D24,'미니게임_DATA(순)'!$A:$FB,MATCH("rct 20g avg",'미니게임_DATA(순)'!$A$3:$FB$3,0),0),0)</f>
        <v>5.7333333333333485</v>
      </c>
      <c r="W24" s="185">
        <f t="shared" ref="W24:W27" si="13">MAX(E24,I24,M24)</f>
        <v>194</v>
      </c>
      <c r="X24" s="267">
        <f>R24</f>
        <v>155.33333333333334</v>
      </c>
      <c r="Y24" s="267" t="str">
        <f>VLOOKUP(Z24,'미니게임_DATA(순)'!$A$4:$C$60,3,0)</f>
        <v>여</v>
      </c>
      <c r="Z24" s="187" t="str">
        <f t="shared" si="10"/>
        <v>성소라</v>
      </c>
    </row>
    <row r="25" spans="3:27">
      <c r="C25" s="538"/>
      <c r="D25" s="188" t="s">
        <v>17</v>
      </c>
      <c r="E25" s="275">
        <f>IFERROR(VLOOKUP(D25,'미니게임_DATA(순)'!$A$4:$EV$60,142,0),0)</f>
        <v>117</v>
      </c>
      <c r="F25" s="275"/>
      <c r="G25" s="527"/>
      <c r="H25" s="527"/>
      <c r="I25" s="275">
        <f>IFERROR(VLOOKUP(D25,'미니게임_DATA(순)'!$A$4:$EV$60,143,0),0)</f>
        <v>131</v>
      </c>
      <c r="J25" s="275"/>
      <c r="K25" s="527"/>
      <c r="L25" s="527"/>
      <c r="M25" s="275">
        <f>IFERROR(VLOOKUP(D25,'미니게임_DATA(순)'!$A$4:$EV$60,144,0),0)</f>
        <v>149</v>
      </c>
      <c r="N25" s="275"/>
      <c r="O25" s="527"/>
      <c r="P25" s="527"/>
      <c r="Q25" s="275">
        <f t="shared" si="0"/>
        <v>397</v>
      </c>
      <c r="R25" s="300">
        <f t="shared" ref="R25:R26" si="14">AVERAGE(E25,I25,M25)</f>
        <v>132.33333333333334</v>
      </c>
      <c r="S25" s="530"/>
      <c r="T25" s="533"/>
      <c r="U25" s="190">
        <f>IFERROR(R25-VLOOKUP(D25,'미니게임_DATA(순)'!$A:$FB,MATCH("rct 20g avg",'미니게임_DATA(순)'!$A$3:$FB$3,0),0),0)</f>
        <v>-17.016666666666652</v>
      </c>
      <c r="W25" s="185">
        <f t="shared" si="13"/>
        <v>149</v>
      </c>
      <c r="X25" s="267">
        <f>R25</f>
        <v>132.33333333333334</v>
      </c>
      <c r="Y25" s="267" t="str">
        <f>VLOOKUP(Z25,'미니게임_DATA(순)'!$A$4:$C$60,3,0)</f>
        <v>남</v>
      </c>
      <c r="Z25" s="187" t="str">
        <f t="shared" si="10"/>
        <v>한희용</v>
      </c>
    </row>
    <row r="26" spans="3:27">
      <c r="C26" s="538"/>
      <c r="D26" s="188" t="s">
        <v>404</v>
      </c>
      <c r="E26" s="275">
        <f>IFERROR(VLOOKUP(D26,'미니게임_DATA(순)'!$A$4:$EV$60,142,0),0)</f>
        <v>118</v>
      </c>
      <c r="F26" s="275"/>
      <c r="G26" s="527"/>
      <c r="H26" s="527"/>
      <c r="I26" s="275">
        <f>IFERROR(VLOOKUP(D26,'미니게임_DATA(순)'!$A$4:$EV$60,143,0),0)</f>
        <v>117</v>
      </c>
      <c r="J26" s="275"/>
      <c r="K26" s="527"/>
      <c r="L26" s="527"/>
      <c r="M26" s="275">
        <f>IFERROR(VLOOKUP(D26,'미니게임_DATA(순)'!$A$4:$EV$60,144,0),0)</f>
        <v>98</v>
      </c>
      <c r="N26" s="275"/>
      <c r="O26" s="527"/>
      <c r="P26" s="527"/>
      <c r="Q26" s="275">
        <f t="shared" si="0"/>
        <v>333</v>
      </c>
      <c r="R26" s="276">
        <f t="shared" si="14"/>
        <v>111</v>
      </c>
      <c r="S26" s="530"/>
      <c r="T26" s="533"/>
      <c r="U26" s="190">
        <f>IFERROR(R26-VLOOKUP(D26,'미니게임_DATA(순)'!$A:$FB,MATCH("rct 20g avg",'미니게임_DATA(순)'!$A$3:$FB$3,0),0),0)</f>
        <v>-25.949999999999989</v>
      </c>
      <c r="W26" s="185">
        <f t="shared" si="13"/>
        <v>118</v>
      </c>
      <c r="X26" s="267">
        <f>R26</f>
        <v>111</v>
      </c>
      <c r="Y26" s="267" t="str">
        <f>VLOOKUP(Z26,'미니게임_DATA(순)'!$A$4:$C$60,3,0)</f>
        <v>남</v>
      </c>
      <c r="Z26" s="187" t="str">
        <f t="shared" si="10"/>
        <v>남준석</v>
      </c>
    </row>
    <row r="27" spans="3:27">
      <c r="C27" s="538"/>
      <c r="D27" s="191"/>
      <c r="E27" s="302">
        <f>IFERROR(VLOOKUP(D27,'미니게임_DATA(순)'!$A$4:$EV$45,111,0),0)</f>
        <v>0</v>
      </c>
      <c r="F27" s="279"/>
      <c r="G27" s="527"/>
      <c r="H27" s="527"/>
      <c r="I27" s="302">
        <f>IFERROR(VLOOKUP(D27,'미니게임_DATA(순)'!$A$4:$EV$45,112,0),0)</f>
        <v>0</v>
      </c>
      <c r="J27" s="279"/>
      <c r="K27" s="527"/>
      <c r="L27" s="527"/>
      <c r="M27" s="302">
        <f>IFERROR(VLOOKUP(D27,'미니게임_DATA(순)'!$A$4:$EV$45,113,0),0)</f>
        <v>0</v>
      </c>
      <c r="N27" s="279"/>
      <c r="O27" s="527"/>
      <c r="P27" s="527"/>
      <c r="Q27" s="279">
        <f t="shared" si="0"/>
        <v>0</v>
      </c>
      <c r="R27" s="276">
        <f t="shared" ref="R27" si="15">Q27/3</f>
        <v>0</v>
      </c>
      <c r="S27" s="530"/>
      <c r="T27" s="533"/>
      <c r="U27" s="190">
        <f>IFERROR(R27-VLOOKUP(D27,'미니게임_DATA(순)'!$A:$FB,MATCH("rct 20g avg",'미니게임_DATA(순)'!$A$3:$FB$3,0),0),0)</f>
        <v>0</v>
      </c>
      <c r="W27" s="185">
        <f t="shared" si="13"/>
        <v>0</v>
      </c>
      <c r="X27" s="267">
        <f>R27</f>
        <v>0</v>
      </c>
      <c r="Y27" s="388" t="s">
        <v>239</v>
      </c>
      <c r="Z27" s="187">
        <f t="shared" si="10"/>
        <v>0</v>
      </c>
    </row>
    <row r="28" spans="3:27" ht="16.5">
      <c r="C28" s="539"/>
      <c r="D28" s="453"/>
      <c r="E28" s="535">
        <f>SUMIF(E24:F26, "&gt;0")</f>
        <v>429</v>
      </c>
      <c r="F28" s="498"/>
      <c r="G28" s="528"/>
      <c r="H28" s="528"/>
      <c r="I28" s="535">
        <f>SUMIF(I24:J26, "&gt;0")</f>
        <v>394</v>
      </c>
      <c r="J28" s="498"/>
      <c r="K28" s="528"/>
      <c r="L28" s="528"/>
      <c r="M28" s="535">
        <f>SUMIF(M24:N26, "&gt;0")</f>
        <v>373</v>
      </c>
      <c r="N28" s="498"/>
      <c r="O28" s="528"/>
      <c r="P28" s="528"/>
      <c r="Q28" s="272">
        <f t="shared" si="0"/>
        <v>1196</v>
      </c>
      <c r="R28" s="196"/>
      <c r="S28" s="531"/>
      <c r="T28" s="534"/>
      <c r="U28" s="277">
        <f>IFERROR(R28-VLOOKUP(D28,'미니게임_DATA(순)'!$A:$FB,MATCH("rct 20g avg",'미니게임_DATA(순)'!$A$3:$FB$3,0),0),0)</f>
        <v>0</v>
      </c>
      <c r="V28" s="185"/>
      <c r="W28" s="185"/>
      <c r="Z28" s="187">
        <f t="shared" si="10"/>
        <v>0</v>
      </c>
      <c r="AA28" s="187">
        <f>SUM(E28,I28)</f>
        <v>823</v>
      </c>
    </row>
    <row r="29" spans="3:27">
      <c r="C29" s="540" t="s">
        <v>496</v>
      </c>
      <c r="D29" s="180" t="s">
        <v>14</v>
      </c>
      <c r="E29" s="275">
        <f>IFERROR(VLOOKUP(D29,'미니게임_DATA(순)'!$A$4:$EV$60,142,0),0)</f>
        <v>125</v>
      </c>
      <c r="F29" s="273"/>
      <c r="G29" s="526">
        <f>RANK(E33,($E$18,$E$23,$E$28,$E$33,E$38,$E$43))</f>
        <v>4</v>
      </c>
      <c r="H29" s="526">
        <f t="shared" ref="H29" si="16">G29</f>
        <v>4</v>
      </c>
      <c r="I29" s="275">
        <f>IFERROR(VLOOKUP(D29,'미니게임_DATA(순)'!$A$4:$EV$60,143,0),0)</f>
        <v>116</v>
      </c>
      <c r="J29" s="273"/>
      <c r="K29" s="526">
        <f>RANK(I33,($I$18,$I$23,$I$28,$I$33,I$38,$I$43))</f>
        <v>4</v>
      </c>
      <c r="L29" s="526">
        <f>RANK(AA33,($AA$18,$AA$23,$AA$28,$AA$33,$AA$38,$AA$43))</f>
        <v>3</v>
      </c>
      <c r="M29" s="275">
        <f>IFERROR(VLOOKUP(D29,'미니게임_DATA(순)'!$A$4:$EV$60,144,0),0)</f>
        <v>153</v>
      </c>
      <c r="N29" s="273"/>
      <c r="O29" s="526">
        <f>RANK(M33,($M$18,$M$23,$M$28,$M$33,$M$38,$M$43))</f>
        <v>3</v>
      </c>
      <c r="P29" s="526">
        <f t="shared" ref="P29" si="17">S29</f>
        <v>4</v>
      </c>
      <c r="Q29" s="273">
        <f t="shared" si="0"/>
        <v>394</v>
      </c>
      <c r="R29" s="274">
        <f>AVERAGE(E29,I29,M29)</f>
        <v>131.33333333333334</v>
      </c>
      <c r="S29" s="529">
        <f>RANK(Q33,($Q$18,$Q$23,$Q$28,$Q$33,$Q$38,$Q$43))</f>
        <v>4</v>
      </c>
      <c r="T29" s="532">
        <f>MAX($Q$18,$Q$23,Q$28,Q$33,Q$38)-Q33</f>
        <v>235</v>
      </c>
      <c r="U29" s="184">
        <f>IFERROR(R29-VLOOKUP(D29,'미니게임_DATA(순)'!$A:$FB,MATCH("rct 20g avg",'미니게임_DATA(순)'!$A$3:$FB$3,0),0),0)</f>
        <v>-33.216666666666669</v>
      </c>
      <c r="W29" s="185">
        <f t="shared" ref="W29:W31" si="18">MAX(E29,I29,M29)</f>
        <v>153</v>
      </c>
      <c r="X29" s="267">
        <f>R29</f>
        <v>131.33333333333334</v>
      </c>
      <c r="Y29" s="267" t="str">
        <f>VLOOKUP(Z29,'미니게임_DATA(순)'!$A$4:$C$60,3,0)</f>
        <v>남</v>
      </c>
      <c r="Z29" s="187" t="str">
        <f t="shared" si="10"/>
        <v>채승엽</v>
      </c>
    </row>
    <row r="30" spans="3:27">
      <c r="C30" s="538"/>
      <c r="D30" s="188" t="s">
        <v>241</v>
      </c>
      <c r="E30" s="275">
        <f>IFERROR(VLOOKUP(D30,'미니게임_DATA(순)'!$A$4:$EV$60,142,0),0)</f>
        <v>159</v>
      </c>
      <c r="F30" s="275"/>
      <c r="G30" s="527"/>
      <c r="H30" s="527"/>
      <c r="I30" s="275">
        <f>IFERROR(VLOOKUP(D30,'미니게임_DATA(순)'!$A$4:$EV$60,143,0),0)</f>
        <v>187</v>
      </c>
      <c r="J30" s="275"/>
      <c r="K30" s="527"/>
      <c r="L30" s="527"/>
      <c r="M30" s="275">
        <f>IFERROR(VLOOKUP(D30,'미니게임_DATA(순)'!$A$4:$EV$60,144,0),0)</f>
        <v>168</v>
      </c>
      <c r="N30" s="275"/>
      <c r="O30" s="527"/>
      <c r="P30" s="527"/>
      <c r="Q30" s="275">
        <f t="shared" si="0"/>
        <v>514</v>
      </c>
      <c r="R30" s="300">
        <f t="shared" ref="R30" si="19">AVERAGE(E30,I30,M30)</f>
        <v>171.33333333333334</v>
      </c>
      <c r="S30" s="530"/>
      <c r="T30" s="533"/>
      <c r="U30" s="190">
        <f>IFERROR(R30-VLOOKUP(D30,'미니게임_DATA(순)'!$A:$FB,MATCH("rct 20g avg",'미니게임_DATA(순)'!$A$3:$FB$3,0),0),0)</f>
        <v>13.183333333333337</v>
      </c>
      <c r="W30" s="185">
        <f t="shared" si="18"/>
        <v>187</v>
      </c>
      <c r="X30" s="267">
        <f>R30</f>
        <v>171.33333333333334</v>
      </c>
      <c r="Y30" s="267" t="str">
        <f>VLOOKUP(Z30,'미니게임_DATA(순)'!$A$4:$C$60,3,0)</f>
        <v>남</v>
      </c>
      <c r="Z30" s="187" t="str">
        <f t="shared" si="10"/>
        <v>이유재</v>
      </c>
    </row>
    <row r="31" spans="3:27">
      <c r="C31" s="538"/>
      <c r="D31" s="188" t="s">
        <v>474</v>
      </c>
      <c r="E31" s="275">
        <f>IFERROR(VLOOKUP(D31,'미니게임_DATA(순)'!$A$4:$EV$60,142,0),0)</f>
        <v>113</v>
      </c>
      <c r="F31" s="275">
        <v>10</v>
      </c>
      <c r="G31" s="527"/>
      <c r="H31" s="527"/>
      <c r="I31" s="275">
        <f>IFERROR(VLOOKUP(D31,'미니게임_DATA(순)'!$A$4:$EV$60,143,0),0)</f>
        <v>116</v>
      </c>
      <c r="J31" s="275">
        <v>10</v>
      </c>
      <c r="K31" s="527"/>
      <c r="L31" s="527"/>
      <c r="M31" s="275">
        <f>IFERROR(VLOOKUP(D31,'미니게임_DATA(순)'!$A$4:$EV$60,144,0),0)</f>
        <v>121</v>
      </c>
      <c r="N31" s="275">
        <v>10</v>
      </c>
      <c r="O31" s="527"/>
      <c r="P31" s="527"/>
      <c r="Q31" s="275">
        <f t="shared" si="0"/>
        <v>350</v>
      </c>
      <c r="R31" s="276">
        <f t="shared" ref="R31:R32" si="20">Q31/3</f>
        <v>116.66666666666667</v>
      </c>
      <c r="S31" s="530"/>
      <c r="T31" s="533"/>
      <c r="U31" s="190">
        <f>IFERROR(R31-VLOOKUP(D31,'미니게임_DATA(순)'!$A:$FB,MATCH("rct 20g avg",'미니게임_DATA(순)'!$A$3:$FB$3,0),0),0)</f>
        <v>5.6111111111111143</v>
      </c>
      <c r="W31" s="185">
        <f t="shared" si="18"/>
        <v>121</v>
      </c>
      <c r="X31" s="267">
        <f>R31</f>
        <v>116.66666666666667</v>
      </c>
      <c r="Y31" s="267" t="str">
        <f>VLOOKUP(Z31,'미니게임_DATA(순)'!$A$4:$C$60,3,0)</f>
        <v>남</v>
      </c>
      <c r="Z31" s="187" t="str">
        <f t="shared" si="10"/>
        <v>차민</v>
      </c>
    </row>
    <row r="32" spans="3:27">
      <c r="C32" s="538"/>
      <c r="D32" s="188"/>
      <c r="E32" s="387">
        <f>IFERROR(VLOOKUP(D32,'미니게임_DATA(순)'!$A$4:$EV$45,115,0),0)</f>
        <v>0</v>
      </c>
      <c r="F32" s="279"/>
      <c r="G32" s="527"/>
      <c r="H32" s="527"/>
      <c r="I32" s="387">
        <f>IFERROR(VLOOKUP(D32,'미니게임_DATA(순)'!$A$4:$EV$45,116,0),0)</f>
        <v>0</v>
      </c>
      <c r="J32" s="279"/>
      <c r="K32" s="527"/>
      <c r="L32" s="527"/>
      <c r="M32" s="387">
        <f>IFERROR(VLOOKUP(D32,'미니게임_DATA(순)'!$A$4:$EV$45,117,0),0)</f>
        <v>0</v>
      </c>
      <c r="N32" s="279"/>
      <c r="O32" s="527"/>
      <c r="P32" s="527"/>
      <c r="Q32" s="279">
        <f t="shared" si="0"/>
        <v>0</v>
      </c>
      <c r="R32" s="276">
        <f t="shared" si="20"/>
        <v>0</v>
      </c>
      <c r="S32" s="530"/>
      <c r="T32" s="533"/>
      <c r="U32" s="190">
        <f>IFERROR(R32-VLOOKUP(D32,'미니게임_DATA(순)'!$A:$FB,MATCH("rct 20g avg",'미니게임_DATA(순)'!$A$3:$FB$3,0),0),0)</f>
        <v>0</v>
      </c>
      <c r="W32" s="185"/>
      <c r="Y32" s="267" t="str">
        <f>IFERROR(VLOOKUP(Z32,'미니게임_DATA(순)'!$A$4:$C$45,3,0),"-")</f>
        <v>-</v>
      </c>
      <c r="Z32" s="187">
        <f t="shared" si="10"/>
        <v>0</v>
      </c>
    </row>
    <row r="33" spans="2:28" ht="16.5">
      <c r="C33" s="539"/>
      <c r="D33" s="453"/>
      <c r="E33" s="535">
        <f>SUMIF(E29:F31, "&gt;0")</f>
        <v>407</v>
      </c>
      <c r="F33" s="498"/>
      <c r="G33" s="528"/>
      <c r="H33" s="528"/>
      <c r="I33" s="535">
        <f>SUMIF(I29:J31, "&gt;0")</f>
        <v>429</v>
      </c>
      <c r="J33" s="498"/>
      <c r="K33" s="528"/>
      <c r="L33" s="528"/>
      <c r="M33" s="535">
        <f>SUMIF(M29:N31, "&gt;0")</f>
        <v>452</v>
      </c>
      <c r="N33" s="536"/>
      <c r="O33" s="528"/>
      <c r="P33" s="528"/>
      <c r="Q33" s="272">
        <f t="shared" si="0"/>
        <v>1288</v>
      </c>
      <c r="R33" s="196"/>
      <c r="S33" s="531"/>
      <c r="T33" s="534"/>
      <c r="U33" s="277">
        <f>IFERROR(R33-VLOOKUP(D33,'미니게임_DATA(순)'!$A:$FB,MATCH("rct 20g avg",'미니게임_DATA(순)'!$A$3:$FB$3,0),0),0)</f>
        <v>0</v>
      </c>
      <c r="V33" s="185"/>
      <c r="W33" s="185"/>
      <c r="Y33" s="267" t="str">
        <f>IFERROR(VLOOKUP(Z33,'미니게임_DATA(순)'!$A$4:$C$45,3,0),"-")</f>
        <v>-</v>
      </c>
      <c r="Z33" s="187">
        <f>D33</f>
        <v>0</v>
      </c>
      <c r="AA33" s="187">
        <f>SUM(E33,I33)</f>
        <v>836</v>
      </c>
    </row>
    <row r="34" spans="2:28">
      <c r="C34" s="540" t="s">
        <v>497</v>
      </c>
      <c r="D34" s="180" t="s">
        <v>37</v>
      </c>
      <c r="E34" s="275">
        <f>IFERROR(VLOOKUP(D34,'미니게임_DATA(순)'!$A$4:$EV$60,142,0),0)</f>
        <v>156</v>
      </c>
      <c r="F34" s="273"/>
      <c r="G34" s="526">
        <f>RANK(E38,($E$18,$E$23,$E$28,$E$33,E$38,$E$43))</f>
        <v>2</v>
      </c>
      <c r="H34" s="526">
        <f t="shared" ref="H34" si="21">G34</f>
        <v>2</v>
      </c>
      <c r="I34" s="275">
        <f>IFERROR(VLOOKUP(D34,'미니게임_DATA(순)'!$A$4:$EV$60,143,0),0)</f>
        <v>200</v>
      </c>
      <c r="J34" s="273"/>
      <c r="K34" s="526">
        <f>RANK(I38,($I$18,$I$23,$I$28,$I$33,I$38,$I$43))</f>
        <v>2</v>
      </c>
      <c r="L34" s="526">
        <f>RANK(AA38,($AA$18,$AA$23,$AA$28,$AA$33,$AA$38,$AA$43))</f>
        <v>2</v>
      </c>
      <c r="M34" s="275">
        <f>IFERROR(VLOOKUP(D34,'미니게임_DATA(순)'!$A$4:$EV$60,144,0),0)</f>
        <v>131</v>
      </c>
      <c r="N34" s="273"/>
      <c r="O34" s="526">
        <f>RANK(M38,($M$18,$M$23,$M$28,$M$33,$M$38,$M$43))</f>
        <v>4</v>
      </c>
      <c r="P34" s="526">
        <f t="shared" ref="P34" si="22">S34</f>
        <v>2</v>
      </c>
      <c r="Q34" s="273">
        <f t="shared" si="0"/>
        <v>487</v>
      </c>
      <c r="R34" s="274">
        <f>AVERAGE(E34,I34,M34)</f>
        <v>162.33333333333334</v>
      </c>
      <c r="S34" s="529">
        <f>RANK(Q38,($Q$18,$Q$23,$Q$28,$Q$33,$Q$38,$Q$43))</f>
        <v>2</v>
      </c>
      <c r="T34" s="532">
        <f>MAX($Q$18,$Q$23,Q$28,Q$33,Q$38)-Q38</f>
        <v>175</v>
      </c>
      <c r="U34" s="184">
        <f>IFERROR(R34-VLOOKUP(D34,'미니게임_DATA(순)'!$A:$FB,MATCH("rct 20g avg",'미니게임_DATA(순)'!$A$3:$FB$3,0),0),0)</f>
        <v>-4.7666666666666515</v>
      </c>
      <c r="W34" s="185">
        <f t="shared" ref="W34:W36" si="23">MAX(E34,I34,M34)</f>
        <v>200</v>
      </c>
      <c r="X34" s="267">
        <f>R34</f>
        <v>162.33333333333334</v>
      </c>
      <c r="Y34" s="267" t="str">
        <f>VLOOKUP(Z34,'미니게임_DATA(순)'!$A$4:$C$60,3,0)</f>
        <v>남</v>
      </c>
      <c r="Z34" s="187" t="str">
        <f t="shared" ref="Z34:Z37" si="24">D34</f>
        <v>최은규</v>
      </c>
    </row>
    <row r="35" spans="2:28" s="172" customFormat="1">
      <c r="B35" s="169"/>
      <c r="C35" s="538"/>
      <c r="D35" s="188" t="s">
        <v>10</v>
      </c>
      <c r="E35" s="275">
        <f>IFERROR(VLOOKUP(D35,'미니게임_DATA(순)'!$A$4:$EV$60,142,0),0)</f>
        <v>160</v>
      </c>
      <c r="F35" s="275"/>
      <c r="G35" s="527"/>
      <c r="H35" s="527"/>
      <c r="I35" s="275">
        <f>IFERROR(VLOOKUP(D35,'미니게임_DATA(순)'!$A$4:$EV$60,143,0),0)</f>
        <v>177</v>
      </c>
      <c r="J35" s="275"/>
      <c r="K35" s="527"/>
      <c r="L35" s="527"/>
      <c r="M35" s="275">
        <f>IFERROR(VLOOKUP(D35,'미니게임_DATA(순)'!$A$4:$EV$60,144,0),0)</f>
        <v>148</v>
      </c>
      <c r="N35" s="275"/>
      <c r="O35" s="527"/>
      <c r="P35" s="527"/>
      <c r="Q35" s="275">
        <f t="shared" si="0"/>
        <v>485</v>
      </c>
      <c r="R35" s="300">
        <f t="shared" ref="R35" si="25">AVERAGE(E35,I35,M35)</f>
        <v>161.66666666666666</v>
      </c>
      <c r="S35" s="530"/>
      <c r="T35" s="533"/>
      <c r="U35" s="190">
        <f>IFERROR(R35-VLOOKUP(D35,'미니게임_DATA(순)'!$A:$FB,MATCH("rct 20g avg",'미니게임_DATA(순)'!$A$3:$FB$3,0),0),0)</f>
        <v>10.766666666666652</v>
      </c>
      <c r="W35" s="185">
        <f t="shared" si="23"/>
        <v>177</v>
      </c>
      <c r="X35" s="267">
        <f>R35</f>
        <v>161.66666666666666</v>
      </c>
      <c r="Y35" s="267" t="str">
        <f>VLOOKUP(Z35,'미니게임_DATA(순)'!$A$4:$C$60,3,0)</f>
        <v>남</v>
      </c>
      <c r="Z35" s="187" t="str">
        <f t="shared" si="24"/>
        <v>김신철</v>
      </c>
      <c r="AA35" s="169"/>
      <c r="AB35" s="169"/>
    </row>
    <row r="36" spans="2:28" s="172" customFormat="1">
      <c r="B36" s="169"/>
      <c r="C36" s="538"/>
      <c r="D36" s="188" t="s">
        <v>42</v>
      </c>
      <c r="E36" s="275">
        <f>IFERROR(VLOOKUP(D36,'미니게임_DATA(순)'!$A$4:$EV$60,142,0),0)</f>
        <v>122</v>
      </c>
      <c r="F36" s="275"/>
      <c r="G36" s="527"/>
      <c r="H36" s="527"/>
      <c r="I36" s="275">
        <f>IFERROR(VLOOKUP(D36,'미니게임_DATA(순)'!$A$4:$EV$60,143,0),0)</f>
        <v>92</v>
      </c>
      <c r="J36" s="275"/>
      <c r="K36" s="527"/>
      <c r="L36" s="527"/>
      <c r="M36" s="275">
        <f>IFERROR(VLOOKUP(D36,'미니게임_DATA(순)'!$A$4:$EV$60,144,0),0)</f>
        <v>162</v>
      </c>
      <c r="N36" s="275"/>
      <c r="O36" s="527"/>
      <c r="P36" s="527"/>
      <c r="Q36" s="275">
        <f t="shared" si="0"/>
        <v>376</v>
      </c>
      <c r="R36" s="276">
        <f t="shared" ref="R36:R37" si="26">Q36/3</f>
        <v>125.33333333333333</v>
      </c>
      <c r="S36" s="530"/>
      <c r="T36" s="533"/>
      <c r="U36" s="190">
        <f>IFERROR(R36-VLOOKUP(D36,'미니게임_DATA(순)'!$A:$FB,MATCH("rct 20g avg",'미니게임_DATA(순)'!$A$3:$FB$3,0),0),0)</f>
        <v>-7.86666666666666</v>
      </c>
      <c r="W36" s="185">
        <f t="shared" si="23"/>
        <v>162</v>
      </c>
      <c r="X36" s="267">
        <f>R36</f>
        <v>125.33333333333333</v>
      </c>
      <c r="Y36" s="267" t="str">
        <f>VLOOKUP(Z36,'미니게임_DATA(순)'!$A$4:$C$60,3,0)</f>
        <v>남</v>
      </c>
      <c r="Z36" s="187" t="str">
        <f t="shared" si="24"/>
        <v>권진현</v>
      </c>
      <c r="AA36" s="169"/>
      <c r="AB36" s="169"/>
    </row>
    <row r="37" spans="2:28">
      <c r="C37" s="538"/>
      <c r="D37" s="188"/>
      <c r="E37" s="279"/>
      <c r="F37" s="279"/>
      <c r="G37" s="527"/>
      <c r="H37" s="527"/>
      <c r="I37" s="279"/>
      <c r="J37" s="279"/>
      <c r="K37" s="527"/>
      <c r="L37" s="527"/>
      <c r="M37" s="279"/>
      <c r="N37" s="279"/>
      <c r="O37" s="527"/>
      <c r="P37" s="527"/>
      <c r="Q37" s="279">
        <f t="shared" si="0"/>
        <v>0</v>
      </c>
      <c r="R37" s="276">
        <f t="shared" si="26"/>
        <v>0</v>
      </c>
      <c r="S37" s="530"/>
      <c r="T37" s="533"/>
      <c r="U37" s="190">
        <f>IFERROR(R37-VLOOKUP(D37,'미니게임_DATA(순)'!$A:$FB,MATCH("rct 20g avg",'미니게임_DATA(순)'!$A$3:$FB$3,0),0),0)</f>
        <v>0</v>
      </c>
      <c r="W37" s="185"/>
      <c r="Y37" s="267" t="str">
        <f>IFERROR(VLOOKUP(Z37,'미니게임_DATA(순)'!$A$4:$C$45,3,0),"-")</f>
        <v>-</v>
      </c>
      <c r="Z37" s="187">
        <f t="shared" si="24"/>
        <v>0</v>
      </c>
    </row>
    <row r="38" spans="2:28" ht="16.5">
      <c r="C38" s="539"/>
      <c r="D38" s="453"/>
      <c r="E38" s="535">
        <f>SUMIF(E34:F36, "&gt;0")</f>
        <v>438</v>
      </c>
      <c r="F38" s="498"/>
      <c r="G38" s="528"/>
      <c r="H38" s="528"/>
      <c r="I38" s="535">
        <f>SUMIF(I34:J36, "&gt;0")</f>
        <v>469</v>
      </c>
      <c r="J38" s="498"/>
      <c r="K38" s="528"/>
      <c r="L38" s="528"/>
      <c r="M38" s="535">
        <f>SUMIF(M34:N36, "&gt;0")</f>
        <v>441</v>
      </c>
      <c r="N38" s="536"/>
      <c r="O38" s="528"/>
      <c r="P38" s="528"/>
      <c r="Q38" s="272">
        <f t="shared" si="0"/>
        <v>1348</v>
      </c>
      <c r="R38" s="196"/>
      <c r="S38" s="531"/>
      <c r="T38" s="534"/>
      <c r="U38" s="277">
        <f>IFERROR(R38-VLOOKUP(D38,'미니게임_DATA(순)'!$A:$FB,MATCH("rct 20g avg",'미니게임_DATA(순)'!$A$3:$FB$3,0),0),0)</f>
        <v>0</v>
      </c>
      <c r="V38" s="185"/>
      <c r="W38" s="185"/>
      <c r="Y38" s="267" t="str">
        <f>IFERROR(VLOOKUP(Z38,'미니게임_DATA(순)'!$A$4:$C$45,3,0),"-")</f>
        <v>-</v>
      </c>
      <c r="Z38" s="187">
        <f>D38</f>
        <v>0</v>
      </c>
      <c r="AA38" s="187">
        <f>SUM(E38,I38)</f>
        <v>907</v>
      </c>
    </row>
    <row r="39" spans="2:28">
      <c r="C39" s="537" t="s">
        <v>373</v>
      </c>
      <c r="D39" s="180"/>
      <c r="E39" s="275">
        <f>IFERROR(VLOOKUP(D39,'미니게임_DATA(순)'!$A$4:$EV$50,124,0),0)</f>
        <v>0</v>
      </c>
      <c r="F39" s="273"/>
      <c r="G39" s="526">
        <f>RANK(E43,($E$18,$E$23,$E$28,$E$33,E$38,$E$43))</f>
        <v>6</v>
      </c>
      <c r="H39" s="526">
        <f t="shared" ref="H39" si="27">G39</f>
        <v>6</v>
      </c>
      <c r="I39" s="275">
        <f>IFERROR(VLOOKUP(D39,'미니게임_DATA(순)'!$A$4:$EV$50,125,0),0)</f>
        <v>0</v>
      </c>
      <c r="J39" s="273"/>
      <c r="K39" s="526">
        <f>RANK(I43,($I$18,$I$23,$I$28,$I$33,I$38,$I$43))</f>
        <v>6</v>
      </c>
      <c r="L39" s="526">
        <f>RANK(AA43,($AA$18,$AA$23,$AA$28,$AA$33,$AA$38,$AA$43))</f>
        <v>6</v>
      </c>
      <c r="M39" s="275">
        <f>IFERROR(VLOOKUP(D39,'미니게임_DATA(순)'!$A$4:$EV$50,126,0),0)</f>
        <v>0</v>
      </c>
      <c r="N39" s="273"/>
      <c r="O39" s="526">
        <f>RANK(M43,($M$18,$M$23,$M$28,$M$33,$M$38,$M$43))</f>
        <v>6</v>
      </c>
      <c r="P39" s="526">
        <f t="shared" ref="P39" si="28">S39</f>
        <v>6</v>
      </c>
      <c r="Q39" s="273">
        <f t="shared" si="0"/>
        <v>0</v>
      </c>
      <c r="R39" s="274">
        <f>AVERAGE(E39,I39,M39)</f>
        <v>0</v>
      </c>
      <c r="S39" s="529">
        <f>RANK(Q43,($Q$18,$Q$23,$Q$28,$Q$33,$Q$38,$Q$43))</f>
        <v>6</v>
      </c>
      <c r="T39" s="532">
        <f>MAX($Q$18,$Q$23,Q$28,Q$33,Q$38)-Q43</f>
        <v>1523</v>
      </c>
      <c r="U39" s="184">
        <f>IFERROR(R39-VLOOKUP(D39,'미니게임_DATA(순)'!$A:$FB,MATCH("rct 20g avg",'미니게임_DATA(순)'!$A$3:$FB$3,0),0),0)</f>
        <v>0</v>
      </c>
      <c r="W39" s="185">
        <f t="shared" ref="W39:W41" si="29">MAX(E39,I39,M39)</f>
        <v>0</v>
      </c>
      <c r="X39" s="267">
        <f>R39</f>
        <v>0</v>
      </c>
      <c r="Y39" s="267" t="str">
        <f>IFERROR(VLOOKUP(Z39,'미니게임_DATA(순)'!$A$4:$C$45,3,0),"-")</f>
        <v>-</v>
      </c>
      <c r="Z39" s="187">
        <f t="shared" ref="Z39:Z42" si="30">D39</f>
        <v>0</v>
      </c>
    </row>
    <row r="40" spans="2:28">
      <c r="C40" s="538"/>
      <c r="D40" s="188"/>
      <c r="E40" s="275">
        <f>IFERROR(VLOOKUP(D40,'미니게임_DATA(순)'!$A$4:$EV$50,124,0),0)</f>
        <v>0</v>
      </c>
      <c r="F40" s="275"/>
      <c r="G40" s="527"/>
      <c r="H40" s="527"/>
      <c r="I40" s="275">
        <f>IFERROR(VLOOKUP(D40,'미니게임_DATA(순)'!$A$4:$EV$50,125,0),0)</f>
        <v>0</v>
      </c>
      <c r="J40" s="275"/>
      <c r="K40" s="527"/>
      <c r="L40" s="527"/>
      <c r="M40" s="275">
        <f>IFERROR(VLOOKUP(D40,'미니게임_DATA(순)'!$A$4:$EV$50,126,0),0)</f>
        <v>0</v>
      </c>
      <c r="N40" s="275"/>
      <c r="O40" s="527"/>
      <c r="P40" s="527"/>
      <c r="Q40" s="275">
        <f t="shared" si="0"/>
        <v>0</v>
      </c>
      <c r="R40" s="300">
        <f t="shared" ref="R40" si="31">AVERAGE(E40,I40,M40)</f>
        <v>0</v>
      </c>
      <c r="S40" s="530"/>
      <c r="T40" s="533"/>
      <c r="U40" s="190">
        <f>IFERROR(R40-VLOOKUP(D40,'미니게임_DATA(순)'!$A:$FB,MATCH("rct 20g avg",'미니게임_DATA(순)'!$A$3:$FB$3,0),0),0)</f>
        <v>0</v>
      </c>
      <c r="W40" s="185">
        <f t="shared" si="29"/>
        <v>0</v>
      </c>
      <c r="X40" s="267">
        <f>R40</f>
        <v>0</v>
      </c>
      <c r="Y40" s="267" t="str">
        <f>IFERROR(VLOOKUP(Z40,'미니게임_DATA(순)'!$A$4:$C$45,3,0),"-")</f>
        <v>-</v>
      </c>
      <c r="Z40" s="187">
        <f t="shared" si="30"/>
        <v>0</v>
      </c>
    </row>
    <row r="41" spans="2:28">
      <c r="C41" s="538"/>
      <c r="D41" s="188"/>
      <c r="E41" s="275">
        <f>IFERROR(VLOOKUP(D41,'미니게임_DATA(순)'!$A$4:$EV$50,124,0),0)</f>
        <v>0</v>
      </c>
      <c r="F41" s="275"/>
      <c r="G41" s="527"/>
      <c r="H41" s="527"/>
      <c r="I41" s="275">
        <f>IFERROR(VLOOKUP(D41,'미니게임_DATA(순)'!$A$4:$EV$50,125,0),0)</f>
        <v>0</v>
      </c>
      <c r="J41" s="275"/>
      <c r="K41" s="527"/>
      <c r="L41" s="527"/>
      <c r="M41" s="275">
        <f>IFERROR(VLOOKUP(D41,'미니게임_DATA(순)'!$A$4:$EV$50,126,0),0)</f>
        <v>0</v>
      </c>
      <c r="N41" s="275"/>
      <c r="O41" s="527"/>
      <c r="P41" s="527"/>
      <c r="Q41" s="275">
        <f t="shared" si="0"/>
        <v>0</v>
      </c>
      <c r="R41" s="276">
        <f t="shared" ref="R41:R42" si="32">Q41/3</f>
        <v>0</v>
      </c>
      <c r="S41" s="530"/>
      <c r="T41" s="533"/>
      <c r="U41" s="190">
        <f>IFERROR(R41-VLOOKUP(D41,'미니게임_DATA(순)'!$A:$FB,MATCH("rct 20g avg",'미니게임_DATA(순)'!$A$3:$FB$3,0),0),0)</f>
        <v>0</v>
      </c>
      <c r="W41" s="185">
        <f t="shared" si="29"/>
        <v>0</v>
      </c>
      <c r="X41" s="267">
        <f>R41</f>
        <v>0</v>
      </c>
      <c r="Y41" s="267" t="str">
        <f>IFERROR(VLOOKUP(Z41,'미니게임_DATA(순)'!$A$4:$C$45,3,0),"-")</f>
        <v>-</v>
      </c>
      <c r="Z41" s="187">
        <f t="shared" si="30"/>
        <v>0</v>
      </c>
    </row>
    <row r="42" spans="2:28">
      <c r="C42" s="538"/>
      <c r="D42" s="188"/>
      <c r="E42" s="279"/>
      <c r="F42" s="279"/>
      <c r="G42" s="527"/>
      <c r="H42" s="527"/>
      <c r="I42" s="279"/>
      <c r="J42" s="279"/>
      <c r="K42" s="527"/>
      <c r="L42" s="527"/>
      <c r="M42" s="279"/>
      <c r="N42" s="279"/>
      <c r="O42" s="527"/>
      <c r="P42" s="527"/>
      <c r="Q42" s="279">
        <f t="shared" si="0"/>
        <v>0</v>
      </c>
      <c r="R42" s="276">
        <f t="shared" si="32"/>
        <v>0</v>
      </c>
      <c r="S42" s="530"/>
      <c r="T42" s="533"/>
      <c r="U42" s="190">
        <f>IFERROR(R42-VLOOKUP(D42,'미니게임_DATA(순)'!$A:$FB,MATCH("rct 20g avg",'미니게임_DATA(순)'!$A$3:$FB$3,0),0),0)</f>
        <v>0</v>
      </c>
      <c r="W42" s="185"/>
      <c r="Y42" s="267" t="str">
        <f>IFERROR(VLOOKUP(Z42,'미니게임_DATA(순)'!$A$4:$C$45,3,0),"-")</f>
        <v>-</v>
      </c>
      <c r="Z42" s="187">
        <f t="shared" si="30"/>
        <v>0</v>
      </c>
    </row>
    <row r="43" spans="2:28" ht="16.5">
      <c r="C43" s="539"/>
      <c r="D43" s="453"/>
      <c r="E43" s="535">
        <f>SUMIF(E39:F41, "&gt;0")</f>
        <v>0</v>
      </c>
      <c r="F43" s="498"/>
      <c r="G43" s="528"/>
      <c r="H43" s="528"/>
      <c r="I43" s="535">
        <f>SUMIF(I39:J41, "&gt;0")</f>
        <v>0</v>
      </c>
      <c r="J43" s="498"/>
      <c r="K43" s="528"/>
      <c r="L43" s="528"/>
      <c r="M43" s="535">
        <f>SUMIF(M39:N41, "&gt;0")</f>
        <v>0</v>
      </c>
      <c r="N43" s="536"/>
      <c r="O43" s="528"/>
      <c r="P43" s="528"/>
      <c r="Q43" s="272">
        <f t="shared" si="0"/>
        <v>0</v>
      </c>
      <c r="R43" s="196"/>
      <c r="S43" s="531"/>
      <c r="T43" s="534"/>
      <c r="U43" s="277">
        <f>IFERROR(R43-VLOOKUP(D43,'미니게임_DATA(순)'!$A:$FB,MATCH("rct 20g avg",'미니게임_DATA(순)'!$A$3:$FB$3,0),0),0)</f>
        <v>0</v>
      </c>
      <c r="W43" s="185"/>
      <c r="Y43" s="267" t="str">
        <f>IFERROR(VLOOKUP(Z43,'미니게임_DATA(순)'!$A$4:$C$45,3,0),"-")</f>
        <v>-</v>
      </c>
      <c r="Z43" s="187">
        <f>D43</f>
        <v>0</v>
      </c>
      <c r="AA43" s="187">
        <f>SUM(E43,I43)</f>
        <v>0</v>
      </c>
    </row>
  </sheetData>
  <mergeCells count="89">
    <mergeCell ref="P39:P43"/>
    <mergeCell ref="S39:S43"/>
    <mergeCell ref="T39:T43"/>
    <mergeCell ref="E43:F43"/>
    <mergeCell ref="I43:J43"/>
    <mergeCell ref="M43:N43"/>
    <mergeCell ref="O39:O43"/>
    <mergeCell ref="C39:C43"/>
    <mergeCell ref="G39:G43"/>
    <mergeCell ref="H39:H43"/>
    <mergeCell ref="K39:K43"/>
    <mergeCell ref="L39:L43"/>
    <mergeCell ref="P34:P38"/>
    <mergeCell ref="S34:S38"/>
    <mergeCell ref="T34:T38"/>
    <mergeCell ref="E38:F38"/>
    <mergeCell ref="I38:J38"/>
    <mergeCell ref="M38:N38"/>
    <mergeCell ref="O34:O38"/>
    <mergeCell ref="C34:C38"/>
    <mergeCell ref="G34:G38"/>
    <mergeCell ref="H34:H38"/>
    <mergeCell ref="K34:K38"/>
    <mergeCell ref="L34:L38"/>
    <mergeCell ref="P29:P33"/>
    <mergeCell ref="S29:S33"/>
    <mergeCell ref="T29:T33"/>
    <mergeCell ref="E33:F33"/>
    <mergeCell ref="I33:J33"/>
    <mergeCell ref="M33:N33"/>
    <mergeCell ref="O29:O33"/>
    <mergeCell ref="C29:C33"/>
    <mergeCell ref="G29:G33"/>
    <mergeCell ref="H29:H33"/>
    <mergeCell ref="K29:K33"/>
    <mergeCell ref="L29:L33"/>
    <mergeCell ref="P24:P28"/>
    <mergeCell ref="S24:S28"/>
    <mergeCell ref="T24:T28"/>
    <mergeCell ref="E28:F28"/>
    <mergeCell ref="I28:J28"/>
    <mergeCell ref="M28:N28"/>
    <mergeCell ref="O24:O28"/>
    <mergeCell ref="C24:C28"/>
    <mergeCell ref="G24:G28"/>
    <mergeCell ref="H24:H28"/>
    <mergeCell ref="K24:K28"/>
    <mergeCell ref="L24:L28"/>
    <mergeCell ref="P19:P23"/>
    <mergeCell ref="S19:S23"/>
    <mergeCell ref="T19:T23"/>
    <mergeCell ref="E23:F23"/>
    <mergeCell ref="I23:J23"/>
    <mergeCell ref="M23:N23"/>
    <mergeCell ref="O19:O23"/>
    <mergeCell ref="C19:C23"/>
    <mergeCell ref="G19:G23"/>
    <mergeCell ref="H19:H23"/>
    <mergeCell ref="K19:K23"/>
    <mergeCell ref="L19:L23"/>
    <mergeCell ref="P14:P18"/>
    <mergeCell ref="S14:S18"/>
    <mergeCell ref="T14:T18"/>
    <mergeCell ref="E18:F18"/>
    <mergeCell ref="I18:J18"/>
    <mergeCell ref="M18:N18"/>
    <mergeCell ref="U11:U13"/>
    <mergeCell ref="E12:H12"/>
    <mergeCell ref="I12:L12"/>
    <mergeCell ref="M12:P12"/>
    <mergeCell ref="C14:C18"/>
    <mergeCell ref="G14:G18"/>
    <mergeCell ref="H14:H18"/>
    <mergeCell ref="K14:K18"/>
    <mergeCell ref="L14:L18"/>
    <mergeCell ref="O14:O18"/>
    <mergeCell ref="C11:C13"/>
    <mergeCell ref="D11:D13"/>
    <mergeCell ref="E11:P11"/>
    <mergeCell ref="Q11:Q13"/>
    <mergeCell ref="R11:R13"/>
    <mergeCell ref="S11:T12"/>
    <mergeCell ref="B2:B3"/>
    <mergeCell ref="B4:B5"/>
    <mergeCell ref="B6:B9"/>
    <mergeCell ref="D6:E6"/>
    <mergeCell ref="D7:E7"/>
    <mergeCell ref="D8:E8"/>
    <mergeCell ref="D9:E9"/>
  </mergeCells>
  <phoneticPr fontId="2" type="noConversion"/>
  <conditionalFormatting sqref="G44:H1048576 O44:P1048576 K44:L1048576 O12:P13 G1:H13 K1:L13 O1:P10">
    <cfRule type="cellIs" dxfId="620" priority="59" operator="equal">
      <formula>1</formula>
    </cfRule>
  </conditionalFormatting>
  <conditionalFormatting sqref="P14:P33">
    <cfRule type="cellIs" dxfId="619" priority="57" operator="equal">
      <formula>1</formula>
    </cfRule>
  </conditionalFormatting>
  <conditionalFormatting sqref="G14:H14 H15:H33">
    <cfRule type="cellIs" dxfId="618" priority="58" operator="equal">
      <formula>1</formula>
    </cfRule>
  </conditionalFormatting>
  <conditionalFormatting sqref="K14:L14 L15:L18">
    <cfRule type="cellIs" dxfId="617" priority="56" operator="equal">
      <formula>1</formula>
    </cfRule>
  </conditionalFormatting>
  <conditionalFormatting sqref="O14">
    <cfRule type="cellIs" dxfId="616" priority="55" operator="equal">
      <formula>1</formula>
    </cfRule>
  </conditionalFormatting>
  <conditionalFormatting sqref="R5">
    <cfRule type="cellIs" dxfId="615" priority="54" operator="greaterThan">
      <formula>200</formula>
    </cfRule>
  </conditionalFormatting>
  <conditionalFormatting sqref="E2:E5">
    <cfRule type="cellIs" dxfId="614" priority="53" operator="greaterThan">
      <formula>199.5</formula>
    </cfRule>
  </conditionalFormatting>
  <conditionalFormatting sqref="E14:E17 E19:E22 E24:E27 E29:E31 I14:I17 I19:I22 I24:I27 I29:I32 M14:M17 M19:M22 M24:M27 M29:M32">
    <cfRule type="cellIs" dxfId="613" priority="52" operator="greaterThan">
      <formula>199.5</formula>
    </cfRule>
  </conditionalFormatting>
  <conditionalFormatting sqref="H34:H38">
    <cfRule type="cellIs" dxfId="612" priority="51" operator="equal">
      <formula>1</formula>
    </cfRule>
  </conditionalFormatting>
  <conditionalFormatting sqref="P34:P38">
    <cfRule type="cellIs" dxfId="611" priority="50" operator="equal">
      <formula>1</formula>
    </cfRule>
  </conditionalFormatting>
  <conditionalFormatting sqref="P39:P43">
    <cfRule type="cellIs" dxfId="610" priority="49" operator="equal">
      <formula>1</formula>
    </cfRule>
  </conditionalFormatting>
  <conditionalFormatting sqref="H39:H43">
    <cfRule type="cellIs" dxfId="609" priority="48" operator="equal">
      <formula>1</formula>
    </cfRule>
  </conditionalFormatting>
  <conditionalFormatting sqref="G19">
    <cfRule type="cellIs" dxfId="608" priority="47" operator="equal">
      <formula>1</formula>
    </cfRule>
  </conditionalFormatting>
  <conditionalFormatting sqref="G24">
    <cfRule type="cellIs" dxfId="607" priority="46" operator="equal">
      <formula>1</formula>
    </cfRule>
  </conditionalFormatting>
  <conditionalFormatting sqref="G29">
    <cfRule type="cellIs" dxfId="606" priority="45" operator="equal">
      <formula>1</formula>
    </cfRule>
  </conditionalFormatting>
  <conditionalFormatting sqref="G34">
    <cfRule type="cellIs" dxfId="605" priority="44" operator="equal">
      <formula>1</formula>
    </cfRule>
  </conditionalFormatting>
  <conditionalFormatting sqref="G39">
    <cfRule type="cellIs" dxfId="604" priority="43" operator="equal">
      <formula>1</formula>
    </cfRule>
  </conditionalFormatting>
  <conditionalFormatting sqref="K19">
    <cfRule type="cellIs" dxfId="603" priority="42" operator="equal">
      <formula>1</formula>
    </cfRule>
  </conditionalFormatting>
  <conditionalFormatting sqref="K24">
    <cfRule type="cellIs" dxfId="602" priority="41" operator="equal">
      <formula>1</formula>
    </cfRule>
  </conditionalFormatting>
  <conditionalFormatting sqref="K29">
    <cfRule type="cellIs" dxfId="601" priority="40" operator="equal">
      <formula>1</formula>
    </cfRule>
  </conditionalFormatting>
  <conditionalFormatting sqref="K34">
    <cfRule type="cellIs" dxfId="600" priority="39" operator="equal">
      <formula>1</formula>
    </cfRule>
  </conditionalFormatting>
  <conditionalFormatting sqref="K39">
    <cfRule type="cellIs" dxfId="599" priority="38" operator="equal">
      <formula>1</formula>
    </cfRule>
  </conditionalFormatting>
  <conditionalFormatting sqref="L19:L23">
    <cfRule type="cellIs" dxfId="598" priority="37" operator="equal">
      <formula>1</formula>
    </cfRule>
  </conditionalFormatting>
  <conditionalFormatting sqref="L24:L28">
    <cfRule type="cellIs" dxfId="597" priority="36" operator="equal">
      <formula>1</formula>
    </cfRule>
  </conditionalFormatting>
  <conditionalFormatting sqref="L29:L33">
    <cfRule type="cellIs" dxfId="596" priority="35" operator="equal">
      <formula>1</formula>
    </cfRule>
  </conditionalFormatting>
  <conditionalFormatting sqref="L34:L38">
    <cfRule type="cellIs" dxfId="595" priority="34" operator="equal">
      <formula>1</formula>
    </cfRule>
  </conditionalFormatting>
  <conditionalFormatting sqref="L39:L43">
    <cfRule type="cellIs" dxfId="594" priority="33" operator="equal">
      <formula>1</formula>
    </cfRule>
  </conditionalFormatting>
  <conditionalFormatting sqref="O19">
    <cfRule type="cellIs" dxfId="593" priority="32" operator="equal">
      <formula>1</formula>
    </cfRule>
  </conditionalFormatting>
  <conditionalFormatting sqref="O24">
    <cfRule type="cellIs" dxfId="592" priority="31" operator="equal">
      <formula>1</formula>
    </cfRule>
  </conditionalFormatting>
  <conditionalFormatting sqref="O29">
    <cfRule type="cellIs" dxfId="591" priority="30" operator="equal">
      <formula>1</formula>
    </cfRule>
  </conditionalFormatting>
  <conditionalFormatting sqref="O34">
    <cfRule type="cellIs" dxfId="590" priority="29" operator="equal">
      <formula>1</formula>
    </cfRule>
  </conditionalFormatting>
  <conditionalFormatting sqref="O39">
    <cfRule type="cellIs" dxfId="589" priority="28" operator="equal">
      <formula>1</formula>
    </cfRule>
  </conditionalFormatting>
  <conditionalFormatting sqref="E39">
    <cfRule type="cellIs" dxfId="588" priority="27" operator="greaterThan">
      <formula>199.5</formula>
    </cfRule>
  </conditionalFormatting>
  <conditionalFormatting sqref="E40">
    <cfRule type="cellIs" dxfId="587" priority="26" operator="greaterThan">
      <formula>199.5</formula>
    </cfRule>
  </conditionalFormatting>
  <conditionalFormatting sqref="E41">
    <cfRule type="cellIs" dxfId="586" priority="25" operator="greaterThan">
      <formula>199.5</formula>
    </cfRule>
  </conditionalFormatting>
  <conditionalFormatting sqref="I41">
    <cfRule type="cellIs" dxfId="585" priority="22" operator="greaterThan">
      <formula>199.5</formula>
    </cfRule>
  </conditionalFormatting>
  <conditionalFormatting sqref="I39">
    <cfRule type="cellIs" dxfId="584" priority="24" operator="greaterThan">
      <formula>199.5</formula>
    </cfRule>
  </conditionalFormatting>
  <conditionalFormatting sqref="I40">
    <cfRule type="cellIs" dxfId="583" priority="23" operator="greaterThan">
      <formula>199.5</formula>
    </cfRule>
  </conditionalFormatting>
  <conditionalFormatting sqref="M39">
    <cfRule type="cellIs" dxfId="582" priority="21" operator="greaterThan">
      <formula>199.5</formula>
    </cfRule>
  </conditionalFormatting>
  <conditionalFormatting sqref="M40">
    <cfRule type="cellIs" dxfId="581" priority="20" operator="greaterThan">
      <formula>199.5</formula>
    </cfRule>
  </conditionalFormatting>
  <conditionalFormatting sqref="M41">
    <cfRule type="cellIs" dxfId="580" priority="19" operator="greaterThan">
      <formula>199.5</formula>
    </cfRule>
  </conditionalFormatting>
  <conditionalFormatting sqref="E36">
    <cfRule type="cellIs" dxfId="579" priority="9" operator="greaterThan">
      <formula>199.5</formula>
    </cfRule>
  </conditionalFormatting>
  <conditionalFormatting sqref="E35">
    <cfRule type="cellIs" dxfId="578" priority="8" operator="greaterThan">
      <formula>199.5</formula>
    </cfRule>
  </conditionalFormatting>
  <conditionalFormatting sqref="E34">
    <cfRule type="cellIs" dxfId="577" priority="7" operator="greaterThan">
      <formula>199.5</formula>
    </cfRule>
  </conditionalFormatting>
  <conditionalFormatting sqref="I34">
    <cfRule type="cellIs" dxfId="576" priority="6" operator="greaterThan">
      <formula>199.5</formula>
    </cfRule>
  </conditionalFormatting>
  <conditionalFormatting sqref="I35">
    <cfRule type="cellIs" dxfId="575" priority="5" operator="greaterThan">
      <formula>199.5</formula>
    </cfRule>
  </conditionalFormatting>
  <conditionalFormatting sqref="I36">
    <cfRule type="cellIs" dxfId="574" priority="4" operator="greaterThan">
      <formula>199.5</formula>
    </cfRule>
  </conditionalFormatting>
  <conditionalFormatting sqref="M34">
    <cfRule type="cellIs" dxfId="573" priority="3" operator="greaterThan">
      <formula>199.5</formula>
    </cfRule>
  </conditionalFormatting>
  <conditionalFormatting sqref="M35">
    <cfRule type="cellIs" dxfId="572" priority="2" operator="greaterThan">
      <formula>199.5</formula>
    </cfRule>
  </conditionalFormatting>
  <conditionalFormatting sqref="M36">
    <cfRule type="cellIs" dxfId="571" priority="1" operator="greaterThan">
      <formula>199.5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43"/>
  <sheetViews>
    <sheetView showGridLines="0" zoomScale="85" zoomScaleNormal="85" workbookViewId="0">
      <selection activeCell="AD33" sqref="AD33"/>
    </sheetView>
  </sheetViews>
  <sheetFormatPr defaultColWidth="9" defaultRowHeight="13.5"/>
  <cols>
    <col min="1" max="5" width="9" style="169"/>
    <col min="6" max="8" width="5.375" style="169" customWidth="1"/>
    <col min="9" max="9" width="9" style="169"/>
    <col min="10" max="12" width="5.375" style="169" customWidth="1"/>
    <col min="13" max="13" width="9" style="169"/>
    <col min="14" max="16" width="5.375" style="169" customWidth="1"/>
    <col min="17" max="17" width="7.375" style="170" customWidth="1"/>
    <col min="18" max="18" width="7.375" style="171" customWidth="1"/>
    <col min="19" max="20" width="7.375" style="169" customWidth="1"/>
    <col min="21" max="21" width="9" style="169"/>
    <col min="22" max="23" width="9" style="172" hidden="1" customWidth="1"/>
    <col min="24" max="25" width="9" style="267" hidden="1" customWidth="1"/>
    <col min="26" max="27" width="9" style="169" hidden="1" customWidth="1"/>
    <col min="28" max="29" width="9" style="169" customWidth="1"/>
    <col min="30" max="16384" width="9" style="169"/>
  </cols>
  <sheetData>
    <row r="2" spans="2:35">
      <c r="B2" s="550" t="s">
        <v>154</v>
      </c>
      <c r="C2" s="166" t="s">
        <v>156</v>
      </c>
      <c r="D2" s="167" t="str">
        <f>VLOOKUP(E2,W14:Z37,4,0)</f>
        <v>양근석</v>
      </c>
      <c r="E2" s="198">
        <f t="array" ref="E2">MAX(IF(Y14:Y38="남",W14:W38))</f>
        <v>288</v>
      </c>
      <c r="F2" s="268"/>
    </row>
    <row r="3" spans="2:35">
      <c r="B3" s="551"/>
      <c r="C3" s="166" t="s">
        <v>157</v>
      </c>
      <c r="D3" s="167" t="str">
        <f>VLOOKUP(E3,W15:Z38,4,0)</f>
        <v>손하은</v>
      </c>
      <c r="E3" s="198">
        <f t="array" ref="E3">MAX(IF(Y15:Y39="여",W15:W39))</f>
        <v>208</v>
      </c>
      <c r="F3" s="268"/>
    </row>
    <row r="4" spans="2:35">
      <c r="B4" s="550" t="s">
        <v>158</v>
      </c>
      <c r="C4" s="166" t="s">
        <v>156</v>
      </c>
      <c r="D4" s="167" t="str">
        <f>VLOOKUP(E4,X14:Z38,3,0)</f>
        <v>양근석</v>
      </c>
      <c r="E4" s="168">
        <f t="array" ref="E4">MAX(IF(Y14:Y38="남",X14:X38))</f>
        <v>216.33333333333334</v>
      </c>
      <c r="F4" s="268"/>
    </row>
    <row r="5" spans="2:35">
      <c r="B5" s="551"/>
      <c r="C5" s="166" t="s">
        <v>157</v>
      </c>
      <c r="D5" s="167" t="str">
        <f>VLOOKUP(E5,X15:Z39,3,0)</f>
        <v>손하은</v>
      </c>
      <c r="E5" s="168">
        <f t="array" ref="E5">MAX(IF(Y14:Y38="여",X14:X38))</f>
        <v>172</v>
      </c>
      <c r="F5" s="268"/>
    </row>
    <row r="6" spans="2:35" ht="16.5">
      <c r="B6" s="550" t="s">
        <v>224</v>
      </c>
      <c r="C6" s="235" t="s">
        <v>154</v>
      </c>
      <c r="D6" s="554" t="s">
        <v>492</v>
      </c>
      <c r="E6" s="472"/>
      <c r="F6" s="269"/>
    </row>
    <row r="7" spans="2:35" ht="16.5">
      <c r="B7" s="552"/>
      <c r="C7" s="235" t="s">
        <v>226</v>
      </c>
      <c r="D7" s="554" t="s">
        <v>20</v>
      </c>
      <c r="E7" s="472"/>
      <c r="F7" s="269"/>
    </row>
    <row r="8" spans="2:35" ht="16.5">
      <c r="B8" s="552"/>
      <c r="C8" s="235" t="s">
        <v>88</v>
      </c>
      <c r="D8" s="554"/>
      <c r="E8" s="498"/>
      <c r="F8" s="270"/>
    </row>
    <row r="9" spans="2:35" ht="16.5">
      <c r="B9" s="553"/>
      <c r="C9" s="235" t="s">
        <v>227</v>
      </c>
      <c r="D9" s="554"/>
      <c r="E9" s="472"/>
      <c r="F9" s="269"/>
      <c r="G9" s="386"/>
    </row>
    <row r="11" spans="2:35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545"/>
      <c r="M11" s="545"/>
      <c r="N11" s="546"/>
      <c r="O11" s="546"/>
      <c r="P11" s="496"/>
      <c r="Q11" s="547" t="s">
        <v>142</v>
      </c>
      <c r="R11" s="548" t="s">
        <v>184</v>
      </c>
      <c r="S11" s="542" t="s">
        <v>169</v>
      </c>
      <c r="T11" s="542"/>
      <c r="U11" s="542" t="s">
        <v>335</v>
      </c>
    </row>
    <row r="12" spans="2:35">
      <c r="C12" s="543"/>
      <c r="D12" s="543"/>
      <c r="E12" s="543">
        <v>1</v>
      </c>
      <c r="F12" s="543"/>
      <c r="G12" s="543"/>
      <c r="H12" s="543"/>
      <c r="I12" s="543">
        <v>2</v>
      </c>
      <c r="J12" s="543"/>
      <c r="K12" s="543"/>
      <c r="L12" s="543"/>
      <c r="M12" s="543">
        <v>3</v>
      </c>
      <c r="N12" s="543"/>
      <c r="O12" s="543"/>
      <c r="P12" s="543"/>
      <c r="Q12" s="547"/>
      <c r="R12" s="549"/>
      <c r="S12" s="542"/>
      <c r="T12" s="542"/>
      <c r="U12" s="542"/>
      <c r="AB12" s="172"/>
    </row>
    <row r="13" spans="2:35" ht="27">
      <c r="C13" s="543"/>
      <c r="D13" s="543"/>
      <c r="E13" s="448" t="s">
        <v>150</v>
      </c>
      <c r="F13" s="447" t="s">
        <v>302</v>
      </c>
      <c r="G13" s="447" t="s">
        <v>152</v>
      </c>
      <c r="H13" s="447" t="s">
        <v>153</v>
      </c>
      <c r="I13" s="448" t="s">
        <v>150</v>
      </c>
      <c r="J13" s="447" t="s">
        <v>302</v>
      </c>
      <c r="K13" s="447" t="s">
        <v>152</v>
      </c>
      <c r="L13" s="447" t="s">
        <v>153</v>
      </c>
      <c r="M13" s="448" t="s">
        <v>150</v>
      </c>
      <c r="N13" s="447" t="s">
        <v>302</v>
      </c>
      <c r="O13" s="447" t="s">
        <v>152</v>
      </c>
      <c r="P13" s="447" t="s">
        <v>153</v>
      </c>
      <c r="Q13" s="547"/>
      <c r="R13" s="549"/>
      <c r="S13" s="447" t="s">
        <v>144</v>
      </c>
      <c r="T13" s="448" t="s">
        <v>168</v>
      </c>
      <c r="U13" s="543"/>
      <c r="W13" s="172" t="s">
        <v>170</v>
      </c>
      <c r="X13" s="267" t="s">
        <v>171</v>
      </c>
    </row>
    <row r="14" spans="2:35">
      <c r="C14" s="540" t="s">
        <v>487</v>
      </c>
      <c r="D14" s="180" t="s">
        <v>13</v>
      </c>
      <c r="E14" s="275">
        <f>IFERROR(VLOOKUP(D14,'미니게임_DATA(순)'!$A$4:$EV$60,139,0),0)</f>
        <v>142</v>
      </c>
      <c r="F14" s="273"/>
      <c r="G14" s="526">
        <f>RANK(E18,($E$18,$E$23,$E$28,$E$33,E$38,$E$43))</f>
        <v>3</v>
      </c>
      <c r="H14" s="526">
        <f>G14</f>
        <v>3</v>
      </c>
      <c r="I14" s="275">
        <f>IFERROR(VLOOKUP(D14,'미니게임_DATA(순)'!$A$4:$EV$60,140,0),0)</f>
        <v>134</v>
      </c>
      <c r="J14" s="273"/>
      <c r="K14" s="526">
        <f>RANK(I18,($I$18,$I$23,$I$28,$I$33,I$38,$I$43))</f>
        <v>1</v>
      </c>
      <c r="L14" s="526">
        <f>RANK(AA18,($AA$18,$AA$23,$AA$28,$AA$33,$AA$38,$AA$43))</f>
        <v>3</v>
      </c>
      <c r="M14" s="275">
        <f>IFERROR(VLOOKUP(D14,'미니게임_DATA(순)'!$A$4:$EV$60,141,0),0)</f>
        <v>128</v>
      </c>
      <c r="N14" s="273"/>
      <c r="O14" s="526">
        <f>RANK(M18,($M$18,$M$23,$M$28,$M$33,$M$38,$M$43))</f>
        <v>4</v>
      </c>
      <c r="P14" s="526">
        <f>S14</f>
        <v>3</v>
      </c>
      <c r="Q14" s="273">
        <f t="shared" ref="Q14:Q43" si="0">E14+I14+M14</f>
        <v>404</v>
      </c>
      <c r="R14" s="274">
        <f>AVERAGE(E14,I14,M14)</f>
        <v>134.66666666666666</v>
      </c>
      <c r="S14" s="529">
        <f>RANK(Q18,($Q$18,$Q$23,$Q$28,$Q$33,$Q$38,$Q$43))</f>
        <v>3</v>
      </c>
      <c r="T14" s="541">
        <f>MAX($Q$18,$Q$23,Q$28,Q$33,Q$38)-Q18</f>
        <v>148</v>
      </c>
      <c r="U14" s="184">
        <f>IFERROR(R14-VLOOKUP(D14,'미니게임_DATA(순)'!$A:$FB,MATCH("rct 20g avg",'미니게임_DATA(순)'!$A$3:$FB$3,0),0),0)</f>
        <v>-22.433333333333337</v>
      </c>
      <c r="W14" s="185">
        <f>MAX(E14,I14,M14)</f>
        <v>142</v>
      </c>
      <c r="X14" s="267">
        <f>R14</f>
        <v>134.66666666666666</v>
      </c>
      <c r="Y14" s="267" t="str">
        <f>VLOOKUP(Z14,'미니게임_DATA(순)'!$A$4:$C$45,3,0)</f>
        <v>남</v>
      </c>
      <c r="Z14" s="187" t="str">
        <f>D14</f>
        <v>정동현</v>
      </c>
      <c r="AI14" s="169" t="s">
        <v>299</v>
      </c>
    </row>
    <row r="15" spans="2:35">
      <c r="C15" s="538"/>
      <c r="D15" s="188" t="s">
        <v>281</v>
      </c>
      <c r="E15" s="275">
        <f>IFERROR(VLOOKUP(D15,'미니게임_DATA(순)'!$A$4:$EV$60,139,0),0)</f>
        <v>124</v>
      </c>
      <c r="F15" s="275"/>
      <c r="G15" s="527"/>
      <c r="H15" s="527"/>
      <c r="I15" s="275">
        <f>IFERROR(VLOOKUP(D15,'미니게임_DATA(순)'!$A$4:$EV$60,140,0),0)</f>
        <v>186</v>
      </c>
      <c r="J15" s="275"/>
      <c r="K15" s="527"/>
      <c r="L15" s="527"/>
      <c r="M15" s="275">
        <f>IFERROR(VLOOKUP(D15,'미니게임_DATA(순)'!$A$4:$EV$60,141,0),0)</f>
        <v>147</v>
      </c>
      <c r="N15" s="275"/>
      <c r="O15" s="527"/>
      <c r="P15" s="527"/>
      <c r="Q15" s="275">
        <f t="shared" si="0"/>
        <v>457</v>
      </c>
      <c r="R15" s="300">
        <f t="shared" ref="R15:R16" si="1">AVERAGE(E15,I15,M15)</f>
        <v>152.33333333333334</v>
      </c>
      <c r="S15" s="530"/>
      <c r="T15" s="527"/>
      <c r="U15" s="190">
        <f>IFERROR(R15-VLOOKUP(D15,'미니게임_DATA(순)'!$A:$FB,MATCH("rct 20g avg",'미니게임_DATA(순)'!$A$3:$FB$3,0),0),0)</f>
        <v>-8.3166666666666629</v>
      </c>
      <c r="W15" s="185">
        <f t="shared" ref="W15:W16" si="2">MAX(E15,I15,M15)</f>
        <v>186</v>
      </c>
      <c r="X15" s="267">
        <f t="shared" ref="X15:X16" si="3">R15</f>
        <v>152.33333333333334</v>
      </c>
      <c r="Y15" s="267" t="str">
        <f>VLOOKUP(Z15,'미니게임_DATA(순)'!$A$4:$C$45,3,0)</f>
        <v>여</v>
      </c>
      <c r="Z15" s="187" t="str">
        <f>D15</f>
        <v>오수인</v>
      </c>
    </row>
    <row r="16" spans="2:35">
      <c r="C16" s="538"/>
      <c r="D16" s="188" t="s">
        <v>17</v>
      </c>
      <c r="E16" s="275">
        <f>IFERROR(VLOOKUP(D16,'미니게임_DATA(순)'!$A$4:$EV$60,139,0),0)</f>
        <v>146</v>
      </c>
      <c r="F16" s="275"/>
      <c r="G16" s="527"/>
      <c r="H16" s="527"/>
      <c r="I16" s="275">
        <f>IFERROR(VLOOKUP(D16,'미니게임_DATA(순)'!$A$4:$EV$60,140,0),0)</f>
        <v>168</v>
      </c>
      <c r="J16" s="275"/>
      <c r="K16" s="527"/>
      <c r="L16" s="527"/>
      <c r="M16" s="275">
        <f>IFERROR(VLOOKUP(D16,'미니게임_DATA(순)'!$A$4:$EV$60,141,0),0)</f>
        <v>168</v>
      </c>
      <c r="N16" s="275"/>
      <c r="O16" s="527"/>
      <c r="P16" s="527"/>
      <c r="Q16" s="275">
        <f t="shared" si="0"/>
        <v>482</v>
      </c>
      <c r="R16" s="276">
        <f t="shared" si="1"/>
        <v>160.66666666666666</v>
      </c>
      <c r="S16" s="530"/>
      <c r="T16" s="527"/>
      <c r="U16" s="190">
        <f>IFERROR(R16-VLOOKUP(D16,'미니게임_DATA(순)'!$A:$FB,MATCH("rct 20g avg",'미니게임_DATA(순)'!$A$3:$FB$3,0),0),0)</f>
        <v>11.316666666666663</v>
      </c>
      <c r="W16" s="185">
        <f t="shared" si="2"/>
        <v>168</v>
      </c>
      <c r="X16" s="267">
        <f t="shared" si="3"/>
        <v>160.66666666666666</v>
      </c>
      <c r="Y16" s="267" t="str">
        <f>VLOOKUP(Z16,'미니게임_DATA(순)'!$A$4:$C$45,3,0)</f>
        <v>남</v>
      </c>
      <c r="Z16" s="187" t="str">
        <f>D16</f>
        <v>한희용</v>
      </c>
    </row>
    <row r="17" spans="3:27">
      <c r="C17" s="538"/>
      <c r="D17" s="191"/>
      <c r="E17" s="279"/>
      <c r="F17" s="279"/>
      <c r="G17" s="527"/>
      <c r="H17" s="527"/>
      <c r="I17" s="279"/>
      <c r="J17" s="279"/>
      <c r="K17" s="527"/>
      <c r="L17" s="527"/>
      <c r="M17" s="279"/>
      <c r="N17" s="279"/>
      <c r="O17" s="527"/>
      <c r="P17" s="527"/>
      <c r="Q17" s="279">
        <f t="shared" si="0"/>
        <v>0</v>
      </c>
      <c r="R17" s="276">
        <f t="shared" ref="R17" si="4">Q17/3</f>
        <v>0</v>
      </c>
      <c r="S17" s="530"/>
      <c r="T17" s="527"/>
      <c r="U17" s="190">
        <f>IFERROR(R17-VLOOKUP(D17,'미니게임_DATA(순)'!$A:$FB,MATCH("rct 20g avg",'미니게임_DATA(순)'!$A$3:$FB$3,0),0),0)</f>
        <v>0</v>
      </c>
      <c r="W17" s="185"/>
      <c r="Z17" s="187"/>
    </row>
    <row r="18" spans="3:27" ht="16.5">
      <c r="C18" s="539"/>
      <c r="D18" s="449"/>
      <c r="E18" s="535">
        <f>SUMIF(E14:F17, "&gt;0")</f>
        <v>412</v>
      </c>
      <c r="F18" s="498"/>
      <c r="G18" s="528"/>
      <c r="H18" s="528"/>
      <c r="I18" s="535">
        <f>SUMIF(I14:J17, "&gt;0")</f>
        <v>488</v>
      </c>
      <c r="J18" s="498"/>
      <c r="K18" s="528"/>
      <c r="L18" s="528"/>
      <c r="M18" s="535">
        <f>SUMIF(M14:N17, "&gt;0")</f>
        <v>443</v>
      </c>
      <c r="N18" s="498"/>
      <c r="O18" s="528"/>
      <c r="P18" s="528"/>
      <c r="Q18" s="272">
        <f t="shared" si="0"/>
        <v>1343</v>
      </c>
      <c r="R18" s="196"/>
      <c r="S18" s="531"/>
      <c r="T18" s="528"/>
      <c r="U18" s="277">
        <f>IFERROR(R18-VLOOKUP(D18,'미니게임_DATA(순)'!$A:$FB,MATCH("rct 20g avg",'미니게임_DATA(순)'!$A$3:$FB$3,0),0),0)</f>
        <v>0</v>
      </c>
      <c r="V18" s="185"/>
      <c r="W18" s="185"/>
      <c r="Z18" s="187">
        <f>D18</f>
        <v>0</v>
      </c>
      <c r="AA18" s="187">
        <f>SUM(E18,I18)</f>
        <v>900</v>
      </c>
    </row>
    <row r="19" spans="3:27">
      <c r="C19" s="540" t="s">
        <v>488</v>
      </c>
      <c r="D19" s="180" t="s">
        <v>20</v>
      </c>
      <c r="E19" s="275">
        <f>IFERROR(VLOOKUP(D19,'미니게임_DATA(순)'!$A$4:$EV$60,139,0),0)</f>
        <v>288</v>
      </c>
      <c r="F19" s="273"/>
      <c r="G19" s="526">
        <f>RANK(E23,($E$18,$E$23,$E$28,$E$33,E$38,$E$43))</f>
        <v>1</v>
      </c>
      <c r="H19" s="526">
        <f t="shared" ref="H19" si="5">G19</f>
        <v>1</v>
      </c>
      <c r="I19" s="275">
        <f>IFERROR(VLOOKUP(D19,'미니게임_DATA(순)'!$A$4:$EV$60,140,0),0)</f>
        <v>188</v>
      </c>
      <c r="J19" s="273"/>
      <c r="K19" s="526">
        <f>RANK(I23,($I$18,$I$23,$I$28,$I$33,I$38,$I$43))</f>
        <v>3</v>
      </c>
      <c r="L19" s="526">
        <f>RANK(AA23,($AA$18,$AA$23,$AA$28,$AA$33,$AA$38,$AA$43))</f>
        <v>1</v>
      </c>
      <c r="M19" s="275">
        <f>IFERROR(VLOOKUP(D19,'미니게임_DATA(순)'!$A$4:$EV$60,141,0),0)</f>
        <v>173</v>
      </c>
      <c r="N19" s="273"/>
      <c r="O19" s="526">
        <f>RANK(M23,($M$18,$M$23,$M$28,$M$33,$M$38,$M$43))</f>
        <v>5</v>
      </c>
      <c r="P19" s="526">
        <f t="shared" ref="P19" si="6">S19</f>
        <v>1</v>
      </c>
      <c r="Q19" s="273">
        <f t="shared" si="0"/>
        <v>649</v>
      </c>
      <c r="R19" s="274">
        <f>AVERAGE(E19,I19,M19)</f>
        <v>216.33333333333334</v>
      </c>
      <c r="S19" s="529">
        <f>RANK(Q23,($Q$18,$Q$23,$Q$28,$Q$33,$Q$38,$Q$43))</f>
        <v>1</v>
      </c>
      <c r="T19" s="532">
        <f>MAX($Q$18,$Q$23,Q$28,Q$33,Q$38)-Q23</f>
        <v>0</v>
      </c>
      <c r="U19" s="184">
        <f>IFERROR(R19-VLOOKUP(D19,'미니게임_DATA(순)'!$A:$FB,MATCH("rct 20g avg",'미니게임_DATA(순)'!$A$3:$FB$3,0),0),0)</f>
        <v>16.333333333333343</v>
      </c>
      <c r="W19" s="185">
        <f>MAX(E19,I19,M19)</f>
        <v>288</v>
      </c>
      <c r="X19" s="267">
        <f>R19</f>
        <v>216.33333333333334</v>
      </c>
      <c r="Y19" s="267" t="str">
        <f>VLOOKUP(Z19,'미니게임_DATA(순)'!$A$4:$C$45,3,0)</f>
        <v>남</v>
      </c>
      <c r="Z19" s="187" t="str">
        <f>D19</f>
        <v>양근석</v>
      </c>
    </row>
    <row r="20" spans="3:27">
      <c r="C20" s="538"/>
      <c r="D20" s="188" t="s">
        <v>282</v>
      </c>
      <c r="E20" s="275">
        <f>IFERROR(VLOOKUP(D20,'미니게임_DATA(순)'!$A$4:$EV$60,139,0),0)</f>
        <v>208</v>
      </c>
      <c r="F20" s="275"/>
      <c r="G20" s="527"/>
      <c r="H20" s="527"/>
      <c r="I20" s="275">
        <f>IFERROR(VLOOKUP(D20,'미니게임_DATA(순)'!$A$4:$EV$60,140,0),0)</f>
        <v>166</v>
      </c>
      <c r="J20" s="275"/>
      <c r="K20" s="527"/>
      <c r="L20" s="527"/>
      <c r="M20" s="275">
        <f>IFERROR(VLOOKUP(D20,'미니게임_DATA(순)'!$A$4:$EV$60,141,0),0)</f>
        <v>142</v>
      </c>
      <c r="N20" s="275"/>
      <c r="O20" s="527"/>
      <c r="P20" s="527"/>
      <c r="Q20" s="275">
        <f t="shared" si="0"/>
        <v>516</v>
      </c>
      <c r="R20" s="300">
        <f t="shared" ref="R20:R21" si="7">AVERAGE(E20,I20,M20)</f>
        <v>172</v>
      </c>
      <c r="S20" s="530"/>
      <c r="T20" s="533"/>
      <c r="U20" s="190">
        <f>IFERROR(R20-VLOOKUP(D20,'미니게임_DATA(순)'!$A:$FB,MATCH("rct 20g avg",'미니게임_DATA(순)'!$A$3:$FB$3,0),0),0)</f>
        <v>8.25</v>
      </c>
      <c r="W20" s="185">
        <f t="shared" ref="W20:W21" si="8">MAX(E20,I20,M20)</f>
        <v>208</v>
      </c>
      <c r="X20" s="267">
        <f>R20</f>
        <v>172</v>
      </c>
      <c r="Y20" s="267" t="str">
        <f>VLOOKUP(Z20,'미니게임_DATA(순)'!$A$4:$C$45,3,0)</f>
        <v>여</v>
      </c>
      <c r="Z20" s="187" t="str">
        <f>D20</f>
        <v>손하은</v>
      </c>
    </row>
    <row r="21" spans="3:27">
      <c r="C21" s="538"/>
      <c r="D21" s="188" t="s">
        <v>474</v>
      </c>
      <c r="E21" s="275">
        <f>IFERROR(VLOOKUP(D21,'미니게임_DATA(순)'!$A$4:$EV$60,139,0),0)</f>
        <v>116</v>
      </c>
      <c r="F21" s="275"/>
      <c r="G21" s="527"/>
      <c r="H21" s="527"/>
      <c r="I21" s="275">
        <f>IFERROR(VLOOKUP(D21,'미니게임_DATA(순)'!$A$4:$EV$60,140,0),0)</f>
        <v>107</v>
      </c>
      <c r="J21" s="275"/>
      <c r="K21" s="527"/>
      <c r="L21" s="527"/>
      <c r="M21" s="275">
        <f>IFERROR(VLOOKUP(D21,'미니게임_DATA(순)'!$A$4:$EV$60,141,0),0)</f>
        <v>103</v>
      </c>
      <c r="N21" s="275"/>
      <c r="O21" s="527"/>
      <c r="P21" s="527"/>
      <c r="Q21" s="275">
        <f t="shared" si="0"/>
        <v>326</v>
      </c>
      <c r="R21" s="276">
        <f t="shared" si="7"/>
        <v>108.66666666666667</v>
      </c>
      <c r="S21" s="530"/>
      <c r="T21" s="533"/>
      <c r="U21" s="190">
        <f>IFERROR(R21-VLOOKUP(D21,'미니게임_DATA(순)'!$A:$FB,MATCH("rct 20g avg",'미니게임_DATA(순)'!$A$3:$FB$3,0),0),0)</f>
        <v>-2.3888888888888857</v>
      </c>
      <c r="W21" s="185">
        <f t="shared" si="8"/>
        <v>116</v>
      </c>
      <c r="X21" s="267">
        <f>R21</f>
        <v>108.66666666666667</v>
      </c>
      <c r="Z21" s="187" t="str">
        <f>D21</f>
        <v>차민</v>
      </c>
    </row>
    <row r="22" spans="3:27">
      <c r="C22" s="538"/>
      <c r="D22" s="188"/>
      <c r="E22" s="279"/>
      <c r="F22" s="279"/>
      <c r="G22" s="527"/>
      <c r="H22" s="527"/>
      <c r="I22" s="279"/>
      <c r="J22" s="279"/>
      <c r="K22" s="527"/>
      <c r="L22" s="527"/>
      <c r="M22" s="279"/>
      <c r="N22" s="279"/>
      <c r="O22" s="527"/>
      <c r="P22" s="527"/>
      <c r="Q22" s="279">
        <f t="shared" si="0"/>
        <v>0</v>
      </c>
      <c r="R22" s="276">
        <f t="shared" ref="R22" si="9">Q22/3</f>
        <v>0</v>
      </c>
      <c r="S22" s="530"/>
      <c r="T22" s="533"/>
      <c r="U22" s="190">
        <f>IFERROR(R22-VLOOKUP(D22,'미니게임_DATA(순)'!$A:$FB,MATCH("rct 20g avg",'미니게임_DATA(순)'!$A$3:$FB$3,0),0),0)</f>
        <v>0</v>
      </c>
      <c r="W22" s="185"/>
      <c r="Z22" s="187">
        <f>D22</f>
        <v>0</v>
      </c>
    </row>
    <row r="23" spans="3:27" ht="16.5">
      <c r="C23" s="539"/>
      <c r="D23" s="449"/>
      <c r="E23" s="535">
        <f>SUMIF(E19:F22, "&gt;0")</f>
        <v>612</v>
      </c>
      <c r="F23" s="498"/>
      <c r="G23" s="528"/>
      <c r="H23" s="528"/>
      <c r="I23" s="535">
        <f>SUMIF(I19:J22, "&gt;0")</f>
        <v>461</v>
      </c>
      <c r="J23" s="498"/>
      <c r="K23" s="528"/>
      <c r="L23" s="528"/>
      <c r="M23" s="535">
        <f>SUMIF(M19:N22, "&gt;0")</f>
        <v>418</v>
      </c>
      <c r="N23" s="498"/>
      <c r="O23" s="528"/>
      <c r="P23" s="528"/>
      <c r="Q23" s="272">
        <f t="shared" si="0"/>
        <v>1491</v>
      </c>
      <c r="R23" s="196"/>
      <c r="S23" s="531"/>
      <c r="T23" s="534"/>
      <c r="U23" s="277">
        <f>IFERROR(R23-VLOOKUP(D23,'미니게임_DATA(순)'!$A:$FB,MATCH("rct 20g avg",'미니게임_DATA(순)'!$A$3:$FB$3,0),0),0)</f>
        <v>0</v>
      </c>
      <c r="V23" s="185"/>
      <c r="W23" s="185"/>
      <c r="Z23" s="187">
        <f t="shared" ref="Z23:Z32" si="10">D23</f>
        <v>0</v>
      </c>
      <c r="AA23" s="187">
        <f>SUM(E23,I23)</f>
        <v>1073</v>
      </c>
    </row>
    <row r="24" spans="3:27">
      <c r="C24" s="540" t="s">
        <v>489</v>
      </c>
      <c r="D24" s="180" t="s">
        <v>11</v>
      </c>
      <c r="E24" s="275">
        <f>IFERROR(VLOOKUP(D24,'미니게임_DATA(순)'!$A$4:$EV$60,139,0),0)</f>
        <v>126</v>
      </c>
      <c r="F24" s="273"/>
      <c r="G24" s="526">
        <f>RANK(E28,($E$18,$E$23,$E$28,$E$33,E$38,$E$43))</f>
        <v>5</v>
      </c>
      <c r="H24" s="526">
        <f t="shared" ref="H24" si="11">G24</f>
        <v>5</v>
      </c>
      <c r="I24" s="275">
        <f>IFERROR(VLOOKUP(D24,'미니게임_DATA(순)'!$A$4:$EV$60,140,0),0)</f>
        <v>157</v>
      </c>
      <c r="J24" s="273"/>
      <c r="K24" s="526">
        <f>RANK(I28,($I$18,$I$23,$I$28,$I$33,I$38,$I$43))</f>
        <v>2</v>
      </c>
      <c r="L24" s="526">
        <f>RANK(AA28,($AA$18,$AA$23,$AA$28,$AA$33,$AA$38,$AA$43))</f>
        <v>4</v>
      </c>
      <c r="M24" s="275">
        <f>IFERROR(VLOOKUP(D24,'미니게임_DATA(순)'!$A$4:$EV$60,141,0),0)</f>
        <v>158</v>
      </c>
      <c r="N24" s="273"/>
      <c r="O24" s="526">
        <f>RANK(M28,($M$18,$M$23,$M$28,$M$33,$M$38,$M$43))</f>
        <v>3</v>
      </c>
      <c r="P24" s="526">
        <f t="shared" ref="P24" si="12">S24</f>
        <v>4</v>
      </c>
      <c r="Q24" s="273">
        <f t="shared" si="0"/>
        <v>441</v>
      </c>
      <c r="R24" s="274">
        <f>AVERAGE(E24,I24,M24)</f>
        <v>147</v>
      </c>
      <c r="S24" s="529">
        <f>RANK(Q28,($Q$18,$Q$23,$Q$28,$Q$33,$Q$38,$Q$43))</f>
        <v>4</v>
      </c>
      <c r="T24" s="532">
        <f>MAX($Q$18,$Q$23,Q$28,Q$33,Q$38)-Q28</f>
        <v>180</v>
      </c>
      <c r="U24" s="184">
        <f>IFERROR(R24-VLOOKUP(D24,'미니게임_DATA(순)'!$A:$FB,MATCH("rct 20g avg",'미니게임_DATA(순)'!$A$3:$FB$3,0),0),0)</f>
        <v>-11.150000000000006</v>
      </c>
      <c r="W24" s="185">
        <f t="shared" ref="W24:W27" si="13">MAX(E24,I24,M24)</f>
        <v>158</v>
      </c>
      <c r="X24" s="267">
        <f>R24</f>
        <v>147</v>
      </c>
      <c r="Y24" s="267" t="s">
        <v>156</v>
      </c>
      <c r="Z24" s="187" t="str">
        <f t="shared" si="10"/>
        <v>박용승</v>
      </c>
    </row>
    <row r="25" spans="3:27">
      <c r="C25" s="538"/>
      <c r="D25" s="188" t="s">
        <v>9</v>
      </c>
      <c r="E25" s="275">
        <f>IFERROR(VLOOKUP(D25,'미니게임_DATA(순)'!$A$4:$EV$60,139,0),0)</f>
        <v>167</v>
      </c>
      <c r="F25" s="275"/>
      <c r="G25" s="527"/>
      <c r="H25" s="527"/>
      <c r="I25" s="275">
        <f>IFERROR(VLOOKUP(D25,'미니게임_DATA(순)'!$A$4:$EV$60,140,0),0)</f>
        <v>164</v>
      </c>
      <c r="J25" s="275"/>
      <c r="K25" s="527"/>
      <c r="L25" s="527"/>
      <c r="M25" s="275">
        <f>IFERROR(VLOOKUP(D25,'미니게임_DATA(순)'!$A$4:$EV$60,141,0),0)</f>
        <v>172</v>
      </c>
      <c r="N25" s="275"/>
      <c r="O25" s="527"/>
      <c r="P25" s="527"/>
      <c r="Q25" s="275">
        <f t="shared" si="0"/>
        <v>503</v>
      </c>
      <c r="R25" s="300">
        <f t="shared" ref="R25:R26" si="14">AVERAGE(E25,I25,M25)</f>
        <v>167.66666666666666</v>
      </c>
      <c r="S25" s="530"/>
      <c r="T25" s="533"/>
      <c r="U25" s="190">
        <f>IFERROR(R25-VLOOKUP(D25,'미니게임_DATA(순)'!$A:$FB,MATCH("rct 20g avg",'미니게임_DATA(순)'!$A$3:$FB$3,0),0),0)</f>
        <v>10.466666666666669</v>
      </c>
      <c r="W25" s="185">
        <f t="shared" si="13"/>
        <v>172</v>
      </c>
      <c r="X25" s="267">
        <f>R25</f>
        <v>167.66666666666666</v>
      </c>
      <c r="Y25" s="267" t="str">
        <f>VLOOKUP(Z25,'미니게임_DATA(순)'!$A$4:$C$45,3,0)</f>
        <v>남</v>
      </c>
      <c r="Z25" s="187" t="str">
        <f t="shared" si="10"/>
        <v>백동민</v>
      </c>
    </row>
    <row r="26" spans="3:27">
      <c r="C26" s="538"/>
      <c r="D26" s="188" t="s">
        <v>42</v>
      </c>
      <c r="E26" s="275">
        <f>IFERROR(VLOOKUP(D26,'미니게임_DATA(순)'!$A$4:$EV$60,139,0),0)</f>
        <v>95</v>
      </c>
      <c r="F26" s="275"/>
      <c r="G26" s="527"/>
      <c r="H26" s="527"/>
      <c r="I26" s="275">
        <f>IFERROR(VLOOKUP(D26,'미니게임_DATA(순)'!$A$4:$EV$60,140,0),0)</f>
        <v>148</v>
      </c>
      <c r="J26" s="275"/>
      <c r="K26" s="527"/>
      <c r="L26" s="527"/>
      <c r="M26" s="275">
        <f>IFERROR(VLOOKUP(D26,'미니게임_DATA(순)'!$A$4:$EV$60,141,0),0)</f>
        <v>124</v>
      </c>
      <c r="N26" s="275"/>
      <c r="O26" s="527"/>
      <c r="P26" s="527"/>
      <c r="Q26" s="275">
        <f t="shared" si="0"/>
        <v>367</v>
      </c>
      <c r="R26" s="276">
        <f t="shared" si="14"/>
        <v>122.33333333333333</v>
      </c>
      <c r="S26" s="530"/>
      <c r="T26" s="533"/>
      <c r="U26" s="190">
        <f>IFERROR(R26-VLOOKUP(D26,'미니게임_DATA(순)'!$A:$FB,MATCH("rct 20g avg",'미니게임_DATA(순)'!$A$3:$FB$3,0),0),0)</f>
        <v>-10.86666666666666</v>
      </c>
      <c r="W26" s="185">
        <f t="shared" si="13"/>
        <v>148</v>
      </c>
      <c r="X26" s="267">
        <f>R26</f>
        <v>122.33333333333333</v>
      </c>
      <c r="Y26" s="267" t="str">
        <f>VLOOKUP(Z26,'미니게임_DATA(순)'!$A$4:$C$45,3,0)</f>
        <v>남</v>
      </c>
      <c r="Z26" s="187" t="str">
        <f t="shared" si="10"/>
        <v>권진현</v>
      </c>
    </row>
    <row r="27" spans="3:27">
      <c r="C27" s="538"/>
      <c r="D27" s="191"/>
      <c r="E27" s="302">
        <f>IFERROR(VLOOKUP(D27,'미니게임_DATA(순)'!$A$4:$EV$45,111,0),0)</f>
        <v>0</v>
      </c>
      <c r="F27" s="279"/>
      <c r="G27" s="527"/>
      <c r="H27" s="527"/>
      <c r="I27" s="302">
        <f>IFERROR(VLOOKUP(D27,'미니게임_DATA(순)'!$A$4:$EV$45,112,0),0)</f>
        <v>0</v>
      </c>
      <c r="J27" s="279"/>
      <c r="K27" s="527"/>
      <c r="L27" s="527"/>
      <c r="M27" s="302">
        <f>IFERROR(VLOOKUP(D27,'미니게임_DATA(순)'!$A$4:$EV$45,113,0),0)</f>
        <v>0</v>
      </c>
      <c r="N27" s="279"/>
      <c r="O27" s="527"/>
      <c r="P27" s="527"/>
      <c r="Q27" s="279">
        <f t="shared" si="0"/>
        <v>0</v>
      </c>
      <c r="R27" s="276">
        <f t="shared" ref="R27" si="15">Q27/3</f>
        <v>0</v>
      </c>
      <c r="S27" s="530"/>
      <c r="T27" s="533"/>
      <c r="U27" s="190">
        <f>IFERROR(R27-VLOOKUP(D27,'미니게임_DATA(순)'!$A:$FB,MATCH("rct 20g avg",'미니게임_DATA(순)'!$A$3:$FB$3,0),0),0)</f>
        <v>0</v>
      </c>
      <c r="W27" s="185">
        <f t="shared" si="13"/>
        <v>0</v>
      </c>
      <c r="X27" s="267">
        <f>R27</f>
        <v>0</v>
      </c>
      <c r="Y27" s="388" t="s">
        <v>239</v>
      </c>
      <c r="Z27" s="187">
        <f t="shared" si="10"/>
        <v>0</v>
      </c>
    </row>
    <row r="28" spans="3:27" ht="16.5">
      <c r="C28" s="539"/>
      <c r="D28" s="449"/>
      <c r="E28" s="535">
        <f>SUMIF(E24:F26, "&gt;0")</f>
        <v>388</v>
      </c>
      <c r="F28" s="498"/>
      <c r="G28" s="528"/>
      <c r="H28" s="528"/>
      <c r="I28" s="535">
        <f>SUMIF(I24:J26, "&gt;0")</f>
        <v>469</v>
      </c>
      <c r="J28" s="498"/>
      <c r="K28" s="528"/>
      <c r="L28" s="528"/>
      <c r="M28" s="535">
        <f>SUMIF(M24:N26, "&gt;0")</f>
        <v>454</v>
      </c>
      <c r="N28" s="498"/>
      <c r="O28" s="528"/>
      <c r="P28" s="528"/>
      <c r="Q28" s="272">
        <f t="shared" si="0"/>
        <v>1311</v>
      </c>
      <c r="R28" s="196"/>
      <c r="S28" s="531"/>
      <c r="T28" s="534"/>
      <c r="U28" s="277">
        <f>IFERROR(R28-VLOOKUP(D28,'미니게임_DATA(순)'!$A:$FB,MATCH("rct 20g avg",'미니게임_DATA(순)'!$A$3:$FB$3,0),0),0)</f>
        <v>0</v>
      </c>
      <c r="V28" s="185"/>
      <c r="W28" s="185"/>
      <c r="Z28" s="187">
        <f t="shared" si="10"/>
        <v>0</v>
      </c>
      <c r="AA28" s="187">
        <f>SUM(E28,I28)</f>
        <v>857</v>
      </c>
    </row>
    <row r="29" spans="3:27">
      <c r="C29" s="540" t="s">
        <v>490</v>
      </c>
      <c r="D29" s="180" t="s">
        <v>12</v>
      </c>
      <c r="E29" s="275">
        <f>IFERROR(VLOOKUP(D29,'미니게임_DATA(순)'!$A$4:$EV$60,139,0),0)</f>
        <v>175</v>
      </c>
      <c r="F29" s="273"/>
      <c r="G29" s="526">
        <f>RANK(E33,($E$18,$E$23,$E$28,$E$33,E$38,$E$43))</f>
        <v>2</v>
      </c>
      <c r="H29" s="526">
        <f t="shared" ref="H29" si="16">G29</f>
        <v>2</v>
      </c>
      <c r="I29" s="275">
        <f>IFERROR(VLOOKUP(D29,'미니게임_DATA(순)'!$A$4:$EV$60,140,0),0)</f>
        <v>131</v>
      </c>
      <c r="J29" s="273"/>
      <c r="K29" s="526">
        <f>RANK(I33,($I$18,$I$23,$I$28,$I$33,I$38,$I$43))</f>
        <v>4</v>
      </c>
      <c r="L29" s="526">
        <f>RANK(AA33,($AA$18,$AA$23,$AA$28,$AA$33,$AA$38,$AA$43))</f>
        <v>2</v>
      </c>
      <c r="M29" s="275">
        <f>IFERROR(VLOOKUP(D29,'미니게임_DATA(순)'!$A$4:$EV$60,141,0),0)</f>
        <v>150</v>
      </c>
      <c r="N29" s="273"/>
      <c r="O29" s="526">
        <f>RANK(M33,($M$18,$M$23,$M$28,$M$33,$M$38,$M$43))</f>
        <v>1</v>
      </c>
      <c r="P29" s="526">
        <f t="shared" ref="P29" si="17">S29</f>
        <v>2</v>
      </c>
      <c r="Q29" s="273">
        <f t="shared" si="0"/>
        <v>456</v>
      </c>
      <c r="R29" s="274">
        <f>AVERAGE(E29,I29,M29)</f>
        <v>152</v>
      </c>
      <c r="S29" s="529">
        <f>RANK(Q33,($Q$18,$Q$23,$Q$28,$Q$33,$Q$38,$Q$43))</f>
        <v>2</v>
      </c>
      <c r="T29" s="532">
        <f>MAX($Q$18,$Q$23,Q$28,Q$33,Q$38)-Q33</f>
        <v>38</v>
      </c>
      <c r="U29" s="184">
        <f>IFERROR(R29-VLOOKUP(D29,'미니게임_DATA(순)'!$A:$FB,MATCH("rct 20g avg",'미니게임_DATA(순)'!$A$3:$FB$3,0),0),0)</f>
        <v>2.4000000000000057</v>
      </c>
      <c r="W29" s="185">
        <f t="shared" ref="W29:W31" si="18">MAX(E29,I29,M29)</f>
        <v>175</v>
      </c>
      <c r="X29" s="267">
        <f>R29</f>
        <v>152</v>
      </c>
      <c r="Y29" s="267" t="str">
        <f>IFERROR(VLOOKUP(Z29,'미니게임_DATA(순)'!$A$4:$C$45,3,0),"-")</f>
        <v>여</v>
      </c>
      <c r="Z29" s="187" t="str">
        <f t="shared" si="10"/>
        <v>성소라</v>
      </c>
    </row>
    <row r="30" spans="3:27">
      <c r="C30" s="538"/>
      <c r="D30" s="188" t="s">
        <v>14</v>
      </c>
      <c r="E30" s="275">
        <f>IFERROR(VLOOKUP(D30,'미니게임_DATA(순)'!$A$4:$EV$60,139,0),0)</f>
        <v>169</v>
      </c>
      <c r="F30" s="275"/>
      <c r="G30" s="527"/>
      <c r="H30" s="527"/>
      <c r="I30" s="275">
        <f>IFERROR(VLOOKUP(D30,'미니게임_DATA(순)'!$A$4:$EV$60,140,0),0)</f>
        <v>184</v>
      </c>
      <c r="J30" s="275"/>
      <c r="K30" s="527"/>
      <c r="L30" s="527"/>
      <c r="M30" s="275">
        <f>IFERROR(VLOOKUP(D30,'미니게임_DATA(순)'!$A$4:$EV$60,141,0),0)</f>
        <v>213</v>
      </c>
      <c r="N30" s="275"/>
      <c r="O30" s="527"/>
      <c r="P30" s="527"/>
      <c r="Q30" s="275">
        <f t="shared" si="0"/>
        <v>566</v>
      </c>
      <c r="R30" s="300">
        <f t="shared" ref="R30" si="19">AVERAGE(E30,I30,M30)</f>
        <v>188.66666666666666</v>
      </c>
      <c r="S30" s="530"/>
      <c r="T30" s="533"/>
      <c r="U30" s="190">
        <f>IFERROR(R30-VLOOKUP(D30,'미니게임_DATA(순)'!$A:$FB,MATCH("rct 20g avg",'미니게임_DATA(순)'!$A$3:$FB$3,0),0),0)</f>
        <v>24.116666666666646</v>
      </c>
      <c r="W30" s="185">
        <f t="shared" si="18"/>
        <v>213</v>
      </c>
      <c r="X30" s="267">
        <f>R30</f>
        <v>188.66666666666666</v>
      </c>
      <c r="Y30" s="267" t="str">
        <f>IFERROR(VLOOKUP(Z30,'미니게임_DATA(순)'!$A$4:$C$45,3,0),"-")</f>
        <v>남</v>
      </c>
      <c r="Z30" s="187" t="str">
        <f t="shared" si="10"/>
        <v>채승엽</v>
      </c>
    </row>
    <row r="31" spans="3:27">
      <c r="C31" s="538"/>
      <c r="D31" s="188" t="s">
        <v>404</v>
      </c>
      <c r="E31" s="275">
        <f>IFERROR(VLOOKUP(D31,'미니게임_DATA(순)'!$A$4:$EV$60,139,0),0)</f>
        <v>134</v>
      </c>
      <c r="F31" s="275"/>
      <c r="G31" s="527"/>
      <c r="H31" s="527"/>
      <c r="I31" s="275">
        <f>IFERROR(VLOOKUP(D31,'미니게임_DATA(순)'!$A$4:$EV$60,140,0),0)</f>
        <v>115</v>
      </c>
      <c r="J31" s="275"/>
      <c r="K31" s="527"/>
      <c r="L31" s="527"/>
      <c r="M31" s="275">
        <f>IFERROR(VLOOKUP(D31,'미니게임_DATA(순)'!$A$4:$EV$60,141,0),0)</f>
        <v>182</v>
      </c>
      <c r="N31" s="275"/>
      <c r="O31" s="527"/>
      <c r="P31" s="527"/>
      <c r="Q31" s="275">
        <f t="shared" si="0"/>
        <v>431</v>
      </c>
      <c r="R31" s="276">
        <f t="shared" ref="R31:R32" si="20">Q31/3</f>
        <v>143.66666666666666</v>
      </c>
      <c r="S31" s="530"/>
      <c r="T31" s="533"/>
      <c r="U31" s="190">
        <f>IFERROR(R31-VLOOKUP(D31,'미니게임_DATA(순)'!$A:$FB,MATCH("rct 20g avg",'미니게임_DATA(순)'!$A$3:$FB$3,0),0),0)</f>
        <v>6.7166666666666686</v>
      </c>
      <c r="W31" s="185">
        <f t="shared" si="18"/>
        <v>182</v>
      </c>
      <c r="X31" s="267">
        <f>R31</f>
        <v>143.66666666666666</v>
      </c>
      <c r="Y31" s="267" t="str">
        <f>IFERROR(VLOOKUP(Z31,'미니게임_DATA(순)'!$A$4:$C$45,3,0),"-")</f>
        <v>남</v>
      </c>
      <c r="Z31" s="187" t="str">
        <f t="shared" si="10"/>
        <v>남준석</v>
      </c>
    </row>
    <row r="32" spans="3:27">
      <c r="C32" s="538"/>
      <c r="D32" s="188"/>
      <c r="E32" s="387">
        <f>IFERROR(VLOOKUP(D32,'미니게임_DATA(순)'!$A$4:$EV$45,115,0),0)</f>
        <v>0</v>
      </c>
      <c r="F32" s="279"/>
      <c r="G32" s="527"/>
      <c r="H32" s="527"/>
      <c r="I32" s="387">
        <f>IFERROR(VLOOKUP(D32,'미니게임_DATA(순)'!$A$4:$EV$45,116,0),0)</f>
        <v>0</v>
      </c>
      <c r="J32" s="279"/>
      <c r="K32" s="527"/>
      <c r="L32" s="527"/>
      <c r="M32" s="387">
        <f>IFERROR(VLOOKUP(D32,'미니게임_DATA(순)'!$A$4:$EV$45,117,0),0)</f>
        <v>0</v>
      </c>
      <c r="N32" s="279"/>
      <c r="O32" s="527"/>
      <c r="P32" s="527"/>
      <c r="Q32" s="279">
        <f t="shared" si="0"/>
        <v>0</v>
      </c>
      <c r="R32" s="276">
        <f t="shared" si="20"/>
        <v>0</v>
      </c>
      <c r="S32" s="530"/>
      <c r="T32" s="533"/>
      <c r="U32" s="190">
        <f>IFERROR(R32-VLOOKUP(D32,'미니게임_DATA(순)'!$A:$FB,MATCH("rct 20g avg",'미니게임_DATA(순)'!$A$3:$FB$3,0),0),0)</f>
        <v>0</v>
      </c>
      <c r="W32" s="185"/>
      <c r="Y32" s="267" t="str">
        <f>IFERROR(VLOOKUP(Z32,'미니게임_DATA(순)'!$A$4:$C$45,3,0),"-")</f>
        <v>-</v>
      </c>
      <c r="Z32" s="187">
        <f t="shared" si="10"/>
        <v>0</v>
      </c>
    </row>
    <row r="33" spans="2:28" ht="16.5">
      <c r="C33" s="539"/>
      <c r="D33" s="449"/>
      <c r="E33" s="535">
        <f>SUMIF(E29:F31, "&gt;0")</f>
        <v>478</v>
      </c>
      <c r="F33" s="498"/>
      <c r="G33" s="528"/>
      <c r="H33" s="528"/>
      <c r="I33" s="535">
        <f>SUMIF(I29:J31, "&gt;0")</f>
        <v>430</v>
      </c>
      <c r="J33" s="498"/>
      <c r="K33" s="528"/>
      <c r="L33" s="528"/>
      <c r="M33" s="535">
        <f>SUMIF(M29:N31, "&gt;0")</f>
        <v>545</v>
      </c>
      <c r="N33" s="536"/>
      <c r="O33" s="528"/>
      <c r="P33" s="528"/>
      <c r="Q33" s="272">
        <f t="shared" si="0"/>
        <v>1453</v>
      </c>
      <c r="R33" s="196"/>
      <c r="S33" s="531"/>
      <c r="T33" s="534"/>
      <c r="U33" s="277">
        <f>IFERROR(R33-VLOOKUP(D33,'미니게임_DATA(순)'!$A:$FB,MATCH("rct 20g avg",'미니게임_DATA(순)'!$A$3:$FB$3,0),0),0)</f>
        <v>0</v>
      </c>
      <c r="V33" s="185"/>
      <c r="W33" s="185"/>
      <c r="Y33" s="267" t="str">
        <f>IFERROR(VLOOKUP(Z33,'미니게임_DATA(순)'!$A$4:$C$45,3,0),"-")</f>
        <v>-</v>
      </c>
      <c r="Z33" s="187">
        <f>D33</f>
        <v>0</v>
      </c>
      <c r="AA33" s="187">
        <f>SUM(E33,I33)</f>
        <v>908</v>
      </c>
    </row>
    <row r="34" spans="2:28">
      <c r="C34" s="540" t="s">
        <v>491</v>
      </c>
      <c r="D34" s="180" t="s">
        <v>38</v>
      </c>
      <c r="E34" s="275">
        <f>IFERROR(VLOOKUP(D34,'미니게임_DATA(순)'!$A$4:$EV$60,139,0),0)</f>
        <v>153</v>
      </c>
      <c r="F34" s="273"/>
      <c r="G34" s="526">
        <f>RANK(E38,($E$18,$E$23,$E$28,$E$33,E$38,$E$43))</f>
        <v>4</v>
      </c>
      <c r="H34" s="526">
        <f t="shared" ref="H34" si="21">G34</f>
        <v>4</v>
      </c>
      <c r="I34" s="275">
        <f>IFERROR(VLOOKUP(D34,'미니게임_DATA(순)'!$A$4:$EV$60,140,0),0)</f>
        <v>128</v>
      </c>
      <c r="J34" s="273"/>
      <c r="K34" s="526">
        <f>RANK(I38,($I$18,$I$23,$I$28,$I$33,I$38,$I$43))</f>
        <v>5</v>
      </c>
      <c r="L34" s="526">
        <f>RANK(AA38,($AA$18,$AA$23,$AA$28,$AA$33,$AA$38,$AA$43))</f>
        <v>5</v>
      </c>
      <c r="M34" s="275">
        <f>IFERROR(VLOOKUP(D34,'미니게임_DATA(순)'!$A$4:$EV$60,141,0),0)</f>
        <v>188</v>
      </c>
      <c r="N34" s="273"/>
      <c r="O34" s="526">
        <f>RANK(M38,($M$18,$M$23,$M$28,$M$33,$M$38,$M$43))</f>
        <v>2</v>
      </c>
      <c r="P34" s="526">
        <f t="shared" ref="P34" si="22">S34</f>
        <v>5</v>
      </c>
      <c r="Q34" s="273">
        <f t="shared" si="0"/>
        <v>469</v>
      </c>
      <c r="R34" s="274">
        <f>AVERAGE(E34,I34,M34)</f>
        <v>156.33333333333334</v>
      </c>
      <c r="S34" s="529">
        <f>RANK(Q38,($Q$18,$Q$23,$Q$28,$Q$33,$Q$38,$Q$43))</f>
        <v>5</v>
      </c>
      <c r="T34" s="532">
        <f>MAX($Q$18,$Q$23,Q$28,Q$33,Q$38)-Q38</f>
        <v>224</v>
      </c>
      <c r="U34" s="184">
        <f>IFERROR(R34-VLOOKUP(D34,'미니게임_DATA(순)'!$A:$FB,MATCH("rct 20g avg",'미니게임_DATA(순)'!$A$3:$FB$3,0),0),0)</f>
        <v>-2.0166666666666515</v>
      </c>
      <c r="W34" s="185">
        <f t="shared" ref="W34:W36" si="23">MAX(E34,I34,M34)</f>
        <v>188</v>
      </c>
      <c r="X34" s="267">
        <f>R34</f>
        <v>156.33333333333334</v>
      </c>
      <c r="Y34" s="267" t="str">
        <f>IFERROR(VLOOKUP(Z34,'미니게임_DATA(순)'!$A$4:$C$45,3,0),"-")</f>
        <v>남</v>
      </c>
      <c r="Z34" s="187" t="str">
        <f t="shared" ref="Z34:Z37" si="24">D34</f>
        <v>이수용</v>
      </c>
    </row>
    <row r="35" spans="2:28" s="172" customFormat="1">
      <c r="B35" s="169"/>
      <c r="C35" s="538"/>
      <c r="D35" s="188" t="s">
        <v>10</v>
      </c>
      <c r="E35" s="275">
        <f>IFERROR(VLOOKUP(D35,'미니게임_DATA(순)'!$A$4:$EV$60,139,0),0)</f>
        <v>147</v>
      </c>
      <c r="F35" s="275"/>
      <c r="G35" s="527"/>
      <c r="H35" s="527"/>
      <c r="I35" s="275">
        <f>IFERROR(VLOOKUP(D35,'미니게임_DATA(순)'!$A$4:$EV$60,140,0),0)</f>
        <v>133</v>
      </c>
      <c r="J35" s="275"/>
      <c r="K35" s="527"/>
      <c r="L35" s="527"/>
      <c r="M35" s="275">
        <f>IFERROR(VLOOKUP(D35,'미니게임_DATA(순)'!$A$4:$EV$60,141,0),0)</f>
        <v>148</v>
      </c>
      <c r="N35" s="275"/>
      <c r="O35" s="527"/>
      <c r="P35" s="527"/>
      <c r="Q35" s="275">
        <f t="shared" si="0"/>
        <v>428</v>
      </c>
      <c r="R35" s="300">
        <f t="shared" ref="R35" si="25">AVERAGE(E35,I35,M35)</f>
        <v>142.66666666666666</v>
      </c>
      <c r="S35" s="530"/>
      <c r="T35" s="533"/>
      <c r="U35" s="190">
        <f>IFERROR(R35-VLOOKUP(D35,'미니게임_DATA(순)'!$A:$FB,MATCH("rct 20g avg",'미니게임_DATA(순)'!$A$3:$FB$3,0),0),0)</f>
        <v>-8.2333333333333485</v>
      </c>
      <c r="W35" s="185">
        <f t="shared" si="23"/>
        <v>148</v>
      </c>
      <c r="X35" s="267">
        <f>R35</f>
        <v>142.66666666666666</v>
      </c>
      <c r="Y35" s="267" t="str">
        <f>IFERROR(VLOOKUP(Z35,'미니게임_DATA(순)'!$A$4:$C$45,3,0),"-")</f>
        <v>남</v>
      </c>
      <c r="Z35" s="187" t="str">
        <f t="shared" si="24"/>
        <v>김신철</v>
      </c>
      <c r="AA35" s="169"/>
      <c r="AB35" s="169"/>
    </row>
    <row r="36" spans="2:28" s="172" customFormat="1">
      <c r="B36" s="169"/>
      <c r="C36" s="538"/>
      <c r="D36" s="188" t="s">
        <v>468</v>
      </c>
      <c r="E36" s="275">
        <f>IFERROR(VLOOKUP(D36,'미니게임_DATA(순)'!$A$4:$EV$60,139,0),0)</f>
        <v>101</v>
      </c>
      <c r="F36" s="275"/>
      <c r="G36" s="527"/>
      <c r="H36" s="527"/>
      <c r="I36" s="275">
        <f>IFERROR(VLOOKUP(D36,'미니게임_DATA(순)'!$A$4:$EV$60,140,0),0)</f>
        <v>119</v>
      </c>
      <c r="J36" s="275"/>
      <c r="K36" s="527"/>
      <c r="L36" s="527"/>
      <c r="M36" s="275">
        <f>IFERROR(VLOOKUP(D36,'미니게임_DATA(순)'!$A$4:$EV$60,141,0),0)</f>
        <v>150</v>
      </c>
      <c r="N36" s="275"/>
      <c r="O36" s="527"/>
      <c r="P36" s="527"/>
      <c r="Q36" s="275">
        <f t="shared" si="0"/>
        <v>370</v>
      </c>
      <c r="R36" s="276">
        <f t="shared" ref="R36:R37" si="26">Q36/3</f>
        <v>123.33333333333333</v>
      </c>
      <c r="S36" s="530"/>
      <c r="T36" s="533"/>
      <c r="U36" s="190">
        <f>IFERROR(R36-VLOOKUP(D36,'미니게임_DATA(순)'!$A:$FB,MATCH("rct 20g avg",'미니게임_DATA(순)'!$A$3:$FB$3,0),0),0)</f>
        <v>-14.666666666666671</v>
      </c>
      <c r="W36" s="185">
        <f t="shared" si="23"/>
        <v>150</v>
      </c>
      <c r="X36" s="267">
        <f>R36</f>
        <v>123.33333333333333</v>
      </c>
      <c r="Y36" s="267" t="str">
        <f>IFERROR(VLOOKUP(Z36,'미니게임_DATA(순)'!$A$4:$C$45,3,0),"-")</f>
        <v>남</v>
      </c>
      <c r="Z36" s="187" t="str">
        <f t="shared" si="24"/>
        <v>안재혁</v>
      </c>
      <c r="AA36" s="169"/>
      <c r="AB36" s="169"/>
    </row>
    <row r="37" spans="2:28">
      <c r="C37" s="538"/>
      <c r="D37" s="188"/>
      <c r="E37" s="279"/>
      <c r="F37" s="279"/>
      <c r="G37" s="527"/>
      <c r="H37" s="527"/>
      <c r="I37" s="279"/>
      <c r="J37" s="279"/>
      <c r="K37" s="527"/>
      <c r="L37" s="527"/>
      <c r="M37" s="279"/>
      <c r="N37" s="279"/>
      <c r="O37" s="527"/>
      <c r="P37" s="527"/>
      <c r="Q37" s="279">
        <f t="shared" si="0"/>
        <v>0</v>
      </c>
      <c r="R37" s="276">
        <f t="shared" si="26"/>
        <v>0</v>
      </c>
      <c r="S37" s="530"/>
      <c r="T37" s="533"/>
      <c r="U37" s="190">
        <f>IFERROR(R37-VLOOKUP(D37,'미니게임_DATA(순)'!$A:$FB,MATCH("rct 20g avg",'미니게임_DATA(순)'!$A$3:$FB$3,0),0),0)</f>
        <v>0</v>
      </c>
      <c r="W37" s="185"/>
      <c r="Y37" s="267" t="str">
        <f>IFERROR(VLOOKUP(Z37,'미니게임_DATA(순)'!$A$4:$C$45,3,0),"-")</f>
        <v>-</v>
      </c>
      <c r="Z37" s="187">
        <f t="shared" si="24"/>
        <v>0</v>
      </c>
    </row>
    <row r="38" spans="2:28" ht="16.5">
      <c r="C38" s="539"/>
      <c r="D38" s="449"/>
      <c r="E38" s="535">
        <f>SUMIF(E34:F36, "&gt;0")</f>
        <v>401</v>
      </c>
      <c r="F38" s="498"/>
      <c r="G38" s="528"/>
      <c r="H38" s="528"/>
      <c r="I38" s="535">
        <f>SUMIF(I34:J36, "&gt;0")</f>
        <v>380</v>
      </c>
      <c r="J38" s="498"/>
      <c r="K38" s="528"/>
      <c r="L38" s="528"/>
      <c r="M38" s="535">
        <f>SUMIF(M34:N36, "&gt;0")</f>
        <v>486</v>
      </c>
      <c r="N38" s="536"/>
      <c r="O38" s="528"/>
      <c r="P38" s="528"/>
      <c r="Q38" s="272">
        <f t="shared" si="0"/>
        <v>1267</v>
      </c>
      <c r="R38" s="196"/>
      <c r="S38" s="531"/>
      <c r="T38" s="534"/>
      <c r="U38" s="277">
        <f>IFERROR(R38-VLOOKUP(D38,'미니게임_DATA(순)'!$A:$FB,MATCH("rct 20g avg",'미니게임_DATA(순)'!$A$3:$FB$3,0),0),0)</f>
        <v>0</v>
      </c>
      <c r="V38" s="185"/>
      <c r="W38" s="185"/>
      <c r="Y38" s="267" t="str">
        <f>IFERROR(VLOOKUP(Z38,'미니게임_DATA(순)'!$A$4:$C$45,3,0),"-")</f>
        <v>-</v>
      </c>
      <c r="Z38" s="187">
        <f>D38</f>
        <v>0</v>
      </c>
      <c r="AA38" s="187">
        <f>SUM(E38,I38)</f>
        <v>781</v>
      </c>
    </row>
    <row r="39" spans="2:28">
      <c r="C39" s="537" t="s">
        <v>373</v>
      </c>
      <c r="D39" s="180"/>
      <c r="E39" s="275">
        <f>IFERROR(VLOOKUP(D39,'미니게임_DATA(순)'!$A$4:$EV$50,124,0),0)</f>
        <v>0</v>
      </c>
      <c r="F39" s="273"/>
      <c r="G39" s="526">
        <f>RANK(E43,($E$18,$E$23,$E$28,$E$33,E$38,$E$43))</f>
        <v>6</v>
      </c>
      <c r="H39" s="526">
        <f t="shared" ref="H39" si="27">G39</f>
        <v>6</v>
      </c>
      <c r="I39" s="275">
        <f>IFERROR(VLOOKUP(D39,'미니게임_DATA(순)'!$A$4:$EV$50,125,0),0)</f>
        <v>0</v>
      </c>
      <c r="J39" s="273"/>
      <c r="K39" s="526">
        <f>RANK(I43,($I$18,$I$23,$I$28,$I$33,I$38,$I$43))</f>
        <v>6</v>
      </c>
      <c r="L39" s="526">
        <f>RANK(AA43,($AA$18,$AA$23,$AA$28,$AA$33,$AA$38,$AA$43))</f>
        <v>6</v>
      </c>
      <c r="M39" s="275">
        <f>IFERROR(VLOOKUP(D39,'미니게임_DATA(순)'!$A$4:$EV$50,126,0),0)</f>
        <v>0</v>
      </c>
      <c r="N39" s="273"/>
      <c r="O39" s="526">
        <f>RANK(M43,($M$18,$M$23,$M$28,$M$33,$M$38,$M$43))</f>
        <v>6</v>
      </c>
      <c r="P39" s="526">
        <f t="shared" ref="P39" si="28">S39</f>
        <v>6</v>
      </c>
      <c r="Q39" s="273">
        <f t="shared" si="0"/>
        <v>0</v>
      </c>
      <c r="R39" s="274">
        <f>AVERAGE(E39,I39,M39)</f>
        <v>0</v>
      </c>
      <c r="S39" s="529">
        <f>RANK(Q43,($Q$18,$Q$23,$Q$28,$Q$33,$Q$38,$Q$43))</f>
        <v>6</v>
      </c>
      <c r="T39" s="532">
        <f>MAX($Q$18,$Q$23,Q$28,Q$33,Q$38)-Q43</f>
        <v>1491</v>
      </c>
      <c r="U39" s="184">
        <f>IFERROR(R39-VLOOKUP(D39,'미니게임_DATA(순)'!$A:$FB,MATCH("rct 20g avg",'미니게임_DATA(순)'!$A$3:$FB$3,0),0),0)</f>
        <v>0</v>
      </c>
      <c r="W39" s="185">
        <f t="shared" ref="W39:W41" si="29">MAX(E39,I39,M39)</f>
        <v>0</v>
      </c>
      <c r="X39" s="267">
        <f>R39</f>
        <v>0</v>
      </c>
      <c r="Y39" s="267" t="str">
        <f>IFERROR(VLOOKUP(Z39,'미니게임_DATA(순)'!$A$4:$C$45,3,0),"-")</f>
        <v>-</v>
      </c>
      <c r="Z39" s="187">
        <f t="shared" ref="Z39:Z42" si="30">D39</f>
        <v>0</v>
      </c>
    </row>
    <row r="40" spans="2:28">
      <c r="C40" s="538"/>
      <c r="D40" s="188"/>
      <c r="E40" s="275">
        <f>IFERROR(VLOOKUP(D40,'미니게임_DATA(순)'!$A$4:$EV$50,124,0),0)</f>
        <v>0</v>
      </c>
      <c r="F40" s="275"/>
      <c r="G40" s="527"/>
      <c r="H40" s="527"/>
      <c r="I40" s="275">
        <f>IFERROR(VLOOKUP(D40,'미니게임_DATA(순)'!$A$4:$EV$50,125,0),0)</f>
        <v>0</v>
      </c>
      <c r="J40" s="275"/>
      <c r="K40" s="527"/>
      <c r="L40" s="527"/>
      <c r="M40" s="275">
        <f>IFERROR(VLOOKUP(D40,'미니게임_DATA(순)'!$A$4:$EV$50,126,0),0)</f>
        <v>0</v>
      </c>
      <c r="N40" s="275"/>
      <c r="O40" s="527"/>
      <c r="P40" s="527"/>
      <c r="Q40" s="275">
        <f t="shared" si="0"/>
        <v>0</v>
      </c>
      <c r="R40" s="300">
        <f t="shared" ref="R40" si="31">AVERAGE(E40,I40,M40)</f>
        <v>0</v>
      </c>
      <c r="S40" s="530"/>
      <c r="T40" s="533"/>
      <c r="U40" s="190">
        <f>IFERROR(R40-VLOOKUP(D40,'미니게임_DATA(순)'!$A:$FB,MATCH("rct 20g avg",'미니게임_DATA(순)'!$A$3:$FB$3,0),0),0)</f>
        <v>0</v>
      </c>
      <c r="W40" s="185">
        <f t="shared" si="29"/>
        <v>0</v>
      </c>
      <c r="X40" s="267">
        <f>R40</f>
        <v>0</v>
      </c>
      <c r="Y40" s="267" t="str">
        <f>IFERROR(VLOOKUP(Z40,'미니게임_DATA(순)'!$A$4:$C$45,3,0),"-")</f>
        <v>-</v>
      </c>
      <c r="Z40" s="187">
        <f t="shared" si="30"/>
        <v>0</v>
      </c>
    </row>
    <row r="41" spans="2:28">
      <c r="C41" s="538"/>
      <c r="D41" s="188"/>
      <c r="E41" s="275">
        <f>IFERROR(VLOOKUP(D41,'미니게임_DATA(순)'!$A$4:$EV$50,124,0),0)</f>
        <v>0</v>
      </c>
      <c r="F41" s="275"/>
      <c r="G41" s="527"/>
      <c r="H41" s="527"/>
      <c r="I41" s="275">
        <f>IFERROR(VLOOKUP(D41,'미니게임_DATA(순)'!$A$4:$EV$50,125,0),0)</f>
        <v>0</v>
      </c>
      <c r="J41" s="275"/>
      <c r="K41" s="527"/>
      <c r="L41" s="527"/>
      <c r="M41" s="275">
        <f>IFERROR(VLOOKUP(D41,'미니게임_DATA(순)'!$A$4:$EV$50,126,0),0)</f>
        <v>0</v>
      </c>
      <c r="N41" s="275"/>
      <c r="O41" s="527"/>
      <c r="P41" s="527"/>
      <c r="Q41" s="275">
        <f t="shared" si="0"/>
        <v>0</v>
      </c>
      <c r="R41" s="276">
        <f t="shared" ref="R41:R42" si="32">Q41/3</f>
        <v>0</v>
      </c>
      <c r="S41" s="530"/>
      <c r="T41" s="533"/>
      <c r="U41" s="190">
        <f>IFERROR(R41-VLOOKUP(D41,'미니게임_DATA(순)'!$A:$FB,MATCH("rct 20g avg",'미니게임_DATA(순)'!$A$3:$FB$3,0),0),0)</f>
        <v>0</v>
      </c>
      <c r="W41" s="185">
        <f t="shared" si="29"/>
        <v>0</v>
      </c>
      <c r="X41" s="267">
        <f>R41</f>
        <v>0</v>
      </c>
      <c r="Y41" s="267" t="str">
        <f>IFERROR(VLOOKUP(Z41,'미니게임_DATA(순)'!$A$4:$C$45,3,0),"-")</f>
        <v>-</v>
      </c>
      <c r="Z41" s="187">
        <f t="shared" si="30"/>
        <v>0</v>
      </c>
    </row>
    <row r="42" spans="2:28">
      <c r="C42" s="538"/>
      <c r="D42" s="188"/>
      <c r="E42" s="279"/>
      <c r="F42" s="279"/>
      <c r="G42" s="527"/>
      <c r="H42" s="527"/>
      <c r="I42" s="279"/>
      <c r="J42" s="279"/>
      <c r="K42" s="527"/>
      <c r="L42" s="527"/>
      <c r="M42" s="279"/>
      <c r="N42" s="279"/>
      <c r="O42" s="527"/>
      <c r="P42" s="527"/>
      <c r="Q42" s="279">
        <f t="shared" si="0"/>
        <v>0</v>
      </c>
      <c r="R42" s="276">
        <f t="shared" si="32"/>
        <v>0</v>
      </c>
      <c r="S42" s="530"/>
      <c r="T42" s="533"/>
      <c r="U42" s="190">
        <f>IFERROR(R42-VLOOKUP(D42,'미니게임_DATA(순)'!$A:$FB,MATCH("rct 20g avg",'미니게임_DATA(순)'!$A$3:$FB$3,0),0),0)</f>
        <v>0</v>
      </c>
      <c r="W42" s="185"/>
      <c r="Y42" s="267" t="str">
        <f>IFERROR(VLOOKUP(Z42,'미니게임_DATA(순)'!$A$4:$C$45,3,0),"-")</f>
        <v>-</v>
      </c>
      <c r="Z42" s="187">
        <f t="shared" si="30"/>
        <v>0</v>
      </c>
    </row>
    <row r="43" spans="2:28" ht="16.5">
      <c r="C43" s="539"/>
      <c r="D43" s="449"/>
      <c r="E43" s="535">
        <f>SUMIF(E39:F41, "&gt;0")</f>
        <v>0</v>
      </c>
      <c r="F43" s="498"/>
      <c r="G43" s="528"/>
      <c r="H43" s="528"/>
      <c r="I43" s="535">
        <f>SUMIF(I39:J41, "&gt;0")</f>
        <v>0</v>
      </c>
      <c r="J43" s="498"/>
      <c r="K43" s="528"/>
      <c r="L43" s="528"/>
      <c r="M43" s="535">
        <f>SUMIF(M39:N41, "&gt;0")</f>
        <v>0</v>
      </c>
      <c r="N43" s="536"/>
      <c r="O43" s="528"/>
      <c r="P43" s="528"/>
      <c r="Q43" s="272">
        <f t="shared" si="0"/>
        <v>0</v>
      </c>
      <c r="R43" s="196"/>
      <c r="S43" s="531"/>
      <c r="T43" s="534"/>
      <c r="U43" s="277">
        <f>IFERROR(R43-VLOOKUP(D43,'미니게임_DATA(순)'!$A:$FB,MATCH("rct 20g avg",'미니게임_DATA(순)'!$A$3:$FB$3,0),0),0)</f>
        <v>0</v>
      </c>
      <c r="W43" s="185"/>
      <c r="Y43" s="267" t="str">
        <f>IFERROR(VLOOKUP(Z43,'미니게임_DATA(순)'!$A$4:$C$45,3,0),"-")</f>
        <v>-</v>
      </c>
      <c r="Z43" s="187">
        <f>D43</f>
        <v>0</v>
      </c>
      <c r="AA43" s="187">
        <f>SUM(E43,I43)</f>
        <v>0</v>
      </c>
    </row>
  </sheetData>
  <mergeCells count="89">
    <mergeCell ref="B2:B3"/>
    <mergeCell ref="B4:B5"/>
    <mergeCell ref="B6:B9"/>
    <mergeCell ref="D6:E6"/>
    <mergeCell ref="D7:E7"/>
    <mergeCell ref="D8:E8"/>
    <mergeCell ref="D9:E9"/>
    <mergeCell ref="U11:U13"/>
    <mergeCell ref="E12:H12"/>
    <mergeCell ref="I12:L12"/>
    <mergeCell ref="M12:P12"/>
    <mergeCell ref="C14:C18"/>
    <mergeCell ref="G14:G18"/>
    <mergeCell ref="H14:H18"/>
    <mergeCell ref="K14:K18"/>
    <mergeCell ref="L14:L18"/>
    <mergeCell ref="O14:O18"/>
    <mergeCell ref="C11:C13"/>
    <mergeCell ref="D11:D13"/>
    <mergeCell ref="E11:P11"/>
    <mergeCell ref="Q11:Q13"/>
    <mergeCell ref="R11:R13"/>
    <mergeCell ref="S11:T12"/>
    <mergeCell ref="P14:P18"/>
    <mergeCell ref="S14:S18"/>
    <mergeCell ref="T14:T18"/>
    <mergeCell ref="E18:F18"/>
    <mergeCell ref="I18:J18"/>
    <mergeCell ref="M18:N18"/>
    <mergeCell ref="C19:C23"/>
    <mergeCell ref="G19:G23"/>
    <mergeCell ref="H19:H23"/>
    <mergeCell ref="K19:K23"/>
    <mergeCell ref="L19:L23"/>
    <mergeCell ref="P19:P23"/>
    <mergeCell ref="S19:S23"/>
    <mergeCell ref="T19:T23"/>
    <mergeCell ref="E23:F23"/>
    <mergeCell ref="I23:J23"/>
    <mergeCell ref="M23:N23"/>
    <mergeCell ref="O19:O23"/>
    <mergeCell ref="C24:C28"/>
    <mergeCell ref="G24:G28"/>
    <mergeCell ref="H24:H28"/>
    <mergeCell ref="K24:K28"/>
    <mergeCell ref="L24:L28"/>
    <mergeCell ref="P24:P28"/>
    <mergeCell ref="S24:S28"/>
    <mergeCell ref="T24:T28"/>
    <mergeCell ref="E28:F28"/>
    <mergeCell ref="I28:J28"/>
    <mergeCell ref="M28:N28"/>
    <mergeCell ref="O24:O28"/>
    <mergeCell ref="C29:C33"/>
    <mergeCell ref="G29:G33"/>
    <mergeCell ref="H29:H33"/>
    <mergeCell ref="K29:K33"/>
    <mergeCell ref="L29:L33"/>
    <mergeCell ref="P29:P33"/>
    <mergeCell ref="S29:S33"/>
    <mergeCell ref="T29:T33"/>
    <mergeCell ref="E33:F33"/>
    <mergeCell ref="I33:J33"/>
    <mergeCell ref="M33:N33"/>
    <mergeCell ref="O29:O33"/>
    <mergeCell ref="C34:C38"/>
    <mergeCell ref="G34:G38"/>
    <mergeCell ref="H34:H38"/>
    <mergeCell ref="K34:K38"/>
    <mergeCell ref="L34:L38"/>
    <mergeCell ref="P34:P38"/>
    <mergeCell ref="S34:S38"/>
    <mergeCell ref="T34:T38"/>
    <mergeCell ref="E38:F38"/>
    <mergeCell ref="I38:J38"/>
    <mergeCell ref="M38:N38"/>
    <mergeCell ref="O34:O38"/>
    <mergeCell ref="C39:C43"/>
    <mergeCell ref="G39:G43"/>
    <mergeCell ref="H39:H43"/>
    <mergeCell ref="K39:K43"/>
    <mergeCell ref="L39:L43"/>
    <mergeCell ref="P39:P43"/>
    <mergeCell ref="S39:S43"/>
    <mergeCell ref="T39:T43"/>
    <mergeCell ref="E43:F43"/>
    <mergeCell ref="I43:J43"/>
    <mergeCell ref="M43:N43"/>
    <mergeCell ref="O39:O43"/>
  </mergeCells>
  <phoneticPr fontId="2" type="noConversion"/>
  <conditionalFormatting sqref="G44:H1048576 O44:P1048576 K44:L1048576 O12:P13 G1:H13 K1:L13 O1:P10">
    <cfRule type="cellIs" dxfId="570" priority="59" operator="equal">
      <formula>1</formula>
    </cfRule>
  </conditionalFormatting>
  <conditionalFormatting sqref="P14:P33">
    <cfRule type="cellIs" dxfId="569" priority="57" operator="equal">
      <formula>1</formula>
    </cfRule>
  </conditionalFormatting>
  <conditionalFormatting sqref="G14:H14 H15:H33">
    <cfRule type="cellIs" dxfId="568" priority="58" operator="equal">
      <formula>1</formula>
    </cfRule>
  </conditionalFormatting>
  <conditionalFormatting sqref="K14:L14 L15:L18">
    <cfRule type="cellIs" dxfId="567" priority="56" operator="equal">
      <formula>1</formula>
    </cfRule>
  </conditionalFormatting>
  <conditionalFormatting sqref="O14">
    <cfRule type="cellIs" dxfId="566" priority="55" operator="equal">
      <formula>1</formula>
    </cfRule>
  </conditionalFormatting>
  <conditionalFormatting sqref="R5">
    <cfRule type="cellIs" dxfId="565" priority="54" operator="greaterThan">
      <formula>200</formula>
    </cfRule>
  </conditionalFormatting>
  <conditionalFormatting sqref="E2:E5">
    <cfRule type="cellIs" dxfId="564" priority="53" operator="greaterThan">
      <formula>199.5</formula>
    </cfRule>
  </conditionalFormatting>
  <conditionalFormatting sqref="E14:E17 E19:E22 E24:E27 E29:E31 I14:I17 I19:I22 I24:I27 I29:I32 M14:M17 M19:M22 M24:M27 M29:M32">
    <cfRule type="cellIs" dxfId="563" priority="52" operator="greaterThan">
      <formula>199.5</formula>
    </cfRule>
  </conditionalFormatting>
  <conditionalFormatting sqref="H34:H38">
    <cfRule type="cellIs" dxfId="562" priority="51" operator="equal">
      <formula>1</formula>
    </cfRule>
  </conditionalFormatting>
  <conditionalFormatting sqref="P34:P38">
    <cfRule type="cellIs" dxfId="561" priority="50" operator="equal">
      <formula>1</formula>
    </cfRule>
  </conditionalFormatting>
  <conditionalFormatting sqref="P39:P43">
    <cfRule type="cellIs" dxfId="560" priority="49" operator="equal">
      <formula>1</formula>
    </cfRule>
  </conditionalFormatting>
  <conditionalFormatting sqref="H39:H43">
    <cfRule type="cellIs" dxfId="559" priority="48" operator="equal">
      <formula>1</formula>
    </cfRule>
  </conditionalFormatting>
  <conditionalFormatting sqref="G19">
    <cfRule type="cellIs" dxfId="558" priority="47" operator="equal">
      <formula>1</formula>
    </cfRule>
  </conditionalFormatting>
  <conditionalFormatting sqref="G24">
    <cfRule type="cellIs" dxfId="557" priority="46" operator="equal">
      <formula>1</formula>
    </cfRule>
  </conditionalFormatting>
  <conditionalFormatting sqref="G29">
    <cfRule type="cellIs" dxfId="556" priority="45" operator="equal">
      <formula>1</formula>
    </cfRule>
  </conditionalFormatting>
  <conditionalFormatting sqref="G34">
    <cfRule type="cellIs" dxfId="555" priority="44" operator="equal">
      <formula>1</formula>
    </cfRule>
  </conditionalFormatting>
  <conditionalFormatting sqref="G39">
    <cfRule type="cellIs" dxfId="554" priority="43" operator="equal">
      <formula>1</formula>
    </cfRule>
  </conditionalFormatting>
  <conditionalFormatting sqref="K19">
    <cfRule type="cellIs" dxfId="553" priority="42" operator="equal">
      <formula>1</formula>
    </cfRule>
  </conditionalFormatting>
  <conditionalFormatting sqref="K24">
    <cfRule type="cellIs" dxfId="552" priority="41" operator="equal">
      <formula>1</formula>
    </cfRule>
  </conditionalFormatting>
  <conditionalFormatting sqref="K29">
    <cfRule type="cellIs" dxfId="551" priority="40" operator="equal">
      <formula>1</formula>
    </cfRule>
  </conditionalFormatting>
  <conditionalFormatting sqref="K34">
    <cfRule type="cellIs" dxfId="550" priority="39" operator="equal">
      <formula>1</formula>
    </cfRule>
  </conditionalFormatting>
  <conditionalFormatting sqref="K39">
    <cfRule type="cellIs" dxfId="549" priority="38" operator="equal">
      <formula>1</formula>
    </cfRule>
  </conditionalFormatting>
  <conditionalFormatting sqref="L19:L23">
    <cfRule type="cellIs" dxfId="548" priority="37" operator="equal">
      <formula>1</formula>
    </cfRule>
  </conditionalFormatting>
  <conditionalFormatting sqref="L24:L28">
    <cfRule type="cellIs" dxfId="547" priority="36" operator="equal">
      <formula>1</formula>
    </cfRule>
  </conditionalFormatting>
  <conditionalFormatting sqref="L29:L33">
    <cfRule type="cellIs" dxfId="546" priority="35" operator="equal">
      <formula>1</formula>
    </cfRule>
  </conditionalFormatting>
  <conditionalFormatting sqref="L34:L38">
    <cfRule type="cellIs" dxfId="545" priority="34" operator="equal">
      <formula>1</formula>
    </cfRule>
  </conditionalFormatting>
  <conditionalFormatting sqref="L39:L43">
    <cfRule type="cellIs" dxfId="544" priority="33" operator="equal">
      <formula>1</formula>
    </cfRule>
  </conditionalFormatting>
  <conditionalFormatting sqref="O19">
    <cfRule type="cellIs" dxfId="543" priority="32" operator="equal">
      <formula>1</formula>
    </cfRule>
  </conditionalFormatting>
  <conditionalFormatting sqref="O24">
    <cfRule type="cellIs" dxfId="542" priority="31" operator="equal">
      <formula>1</formula>
    </cfRule>
  </conditionalFormatting>
  <conditionalFormatting sqref="O29">
    <cfRule type="cellIs" dxfId="541" priority="30" operator="equal">
      <formula>1</formula>
    </cfRule>
  </conditionalFormatting>
  <conditionalFormatting sqref="O34">
    <cfRule type="cellIs" dxfId="540" priority="29" operator="equal">
      <formula>1</formula>
    </cfRule>
  </conditionalFormatting>
  <conditionalFormatting sqref="O39">
    <cfRule type="cellIs" dxfId="539" priority="28" operator="equal">
      <formula>1</formula>
    </cfRule>
  </conditionalFormatting>
  <conditionalFormatting sqref="E39">
    <cfRule type="cellIs" dxfId="538" priority="27" operator="greaterThan">
      <formula>199.5</formula>
    </cfRule>
  </conditionalFormatting>
  <conditionalFormatting sqref="E40">
    <cfRule type="cellIs" dxfId="537" priority="26" operator="greaterThan">
      <formula>199.5</formula>
    </cfRule>
  </conditionalFormatting>
  <conditionalFormatting sqref="E41">
    <cfRule type="cellIs" dxfId="536" priority="25" operator="greaterThan">
      <formula>199.5</formula>
    </cfRule>
  </conditionalFormatting>
  <conditionalFormatting sqref="I41">
    <cfRule type="cellIs" dxfId="535" priority="22" operator="greaterThan">
      <formula>199.5</formula>
    </cfRule>
  </conditionalFormatting>
  <conditionalFormatting sqref="I39">
    <cfRule type="cellIs" dxfId="534" priority="24" operator="greaterThan">
      <formula>199.5</formula>
    </cfRule>
  </conditionalFormatting>
  <conditionalFormatting sqref="I40">
    <cfRule type="cellIs" dxfId="533" priority="23" operator="greaterThan">
      <formula>199.5</formula>
    </cfRule>
  </conditionalFormatting>
  <conditionalFormatting sqref="M39">
    <cfRule type="cellIs" dxfId="532" priority="20" operator="greaterThan">
      <formula>199.5</formula>
    </cfRule>
  </conditionalFormatting>
  <conditionalFormatting sqref="M40">
    <cfRule type="cellIs" dxfId="531" priority="19" operator="greaterThan">
      <formula>199.5</formula>
    </cfRule>
  </conditionalFormatting>
  <conditionalFormatting sqref="M41">
    <cfRule type="cellIs" dxfId="530" priority="18" operator="greaterThan">
      <formula>199.5</formula>
    </cfRule>
  </conditionalFormatting>
  <conditionalFormatting sqref="E34">
    <cfRule type="cellIs" dxfId="529" priority="9" operator="greaterThan">
      <formula>199.5</formula>
    </cfRule>
  </conditionalFormatting>
  <conditionalFormatting sqref="E35">
    <cfRule type="cellIs" dxfId="528" priority="8" operator="greaterThan">
      <formula>199.5</formula>
    </cfRule>
  </conditionalFormatting>
  <conditionalFormatting sqref="E36">
    <cfRule type="cellIs" dxfId="527" priority="7" operator="greaterThan">
      <formula>199.5</formula>
    </cfRule>
  </conditionalFormatting>
  <conditionalFormatting sqref="I34">
    <cfRule type="cellIs" dxfId="526" priority="6" operator="greaterThan">
      <formula>199.5</formula>
    </cfRule>
  </conditionalFormatting>
  <conditionalFormatting sqref="I35">
    <cfRule type="cellIs" dxfId="525" priority="5" operator="greaterThan">
      <formula>199.5</formula>
    </cfRule>
  </conditionalFormatting>
  <conditionalFormatting sqref="I36">
    <cfRule type="cellIs" dxfId="524" priority="4" operator="greaterThan">
      <formula>199.5</formula>
    </cfRule>
  </conditionalFormatting>
  <conditionalFormatting sqref="M34">
    <cfRule type="cellIs" dxfId="523" priority="3" operator="greaterThan">
      <formula>199.5</formula>
    </cfRule>
  </conditionalFormatting>
  <conditionalFormatting sqref="M35">
    <cfRule type="cellIs" dxfId="522" priority="2" operator="greaterThan">
      <formula>199.5</formula>
    </cfRule>
  </conditionalFormatting>
  <conditionalFormatting sqref="M36">
    <cfRule type="cellIs" dxfId="521" priority="1" operator="greaterThan">
      <formula>199.5</formula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43"/>
  <sheetViews>
    <sheetView showGridLines="0" zoomScale="85" zoomScaleNormal="85" workbookViewId="0">
      <selection activeCell="T63" sqref="T62:T63"/>
    </sheetView>
  </sheetViews>
  <sheetFormatPr defaultColWidth="9" defaultRowHeight="13.5"/>
  <cols>
    <col min="1" max="5" width="9" style="169"/>
    <col min="6" max="8" width="5.375" style="169" customWidth="1"/>
    <col min="9" max="9" width="9" style="169"/>
    <col min="10" max="12" width="5.375" style="169" customWidth="1"/>
    <col min="13" max="13" width="9" style="169"/>
    <col min="14" max="16" width="5.375" style="169" customWidth="1"/>
    <col min="17" max="17" width="7.375" style="170" customWidth="1"/>
    <col min="18" max="18" width="7.375" style="171" customWidth="1"/>
    <col min="19" max="20" width="7.375" style="169" customWidth="1"/>
    <col min="21" max="21" width="9" style="169"/>
    <col min="22" max="23" width="9" style="172" hidden="1" customWidth="1"/>
    <col min="24" max="25" width="9" style="267" hidden="1" customWidth="1"/>
    <col min="26" max="28" width="9" style="169" hidden="1" customWidth="1"/>
    <col min="29" max="29" width="0" style="169" hidden="1" customWidth="1"/>
    <col min="30" max="16384" width="9" style="169"/>
  </cols>
  <sheetData>
    <row r="2" spans="2:35">
      <c r="B2" s="550" t="s">
        <v>154</v>
      </c>
      <c r="C2" s="166" t="s">
        <v>156</v>
      </c>
      <c r="D2" s="167" t="str">
        <f>VLOOKUP(E2,W14:Z37,4,0)</f>
        <v>백동민</v>
      </c>
      <c r="E2" s="198">
        <f t="array" ref="E2">MAX(IF(Y14:Y38="남",W14:W38))</f>
        <v>247</v>
      </c>
      <c r="F2" s="268"/>
    </row>
    <row r="3" spans="2:35">
      <c r="B3" s="551"/>
      <c r="C3" s="166" t="s">
        <v>157</v>
      </c>
      <c r="D3" s="167" t="str">
        <f>VLOOKUP(E3,W15:Z38,4,0)</f>
        <v>오수인</v>
      </c>
      <c r="E3" s="198">
        <f t="array" ref="E3">MAX(IF(Y15:Y39="여",W15:W39))</f>
        <v>186</v>
      </c>
      <c r="F3" s="268"/>
    </row>
    <row r="4" spans="2:35">
      <c r="B4" s="550" t="s">
        <v>158</v>
      </c>
      <c r="C4" s="166" t="s">
        <v>156</v>
      </c>
      <c r="D4" s="167" t="str">
        <f>VLOOKUP(E4,X14:Z38,3,0)</f>
        <v>박용승</v>
      </c>
      <c r="E4" s="168">
        <f t="array" ref="E4">MAX(IF(Y14:Y38="남",X14:X38))</f>
        <v>168</v>
      </c>
      <c r="F4" s="268"/>
    </row>
    <row r="5" spans="2:35">
      <c r="B5" s="551"/>
      <c r="C5" s="166" t="s">
        <v>157</v>
      </c>
      <c r="D5" s="167" t="str">
        <f>VLOOKUP(E5,X15:Z39,3,0)</f>
        <v>손하은</v>
      </c>
      <c r="E5" s="168">
        <f t="array" ref="E5">MAX(IF(Y14:Y38="여",X14:X38))</f>
        <v>169</v>
      </c>
      <c r="F5" s="268"/>
    </row>
    <row r="6" spans="2:35" ht="16.5">
      <c r="B6" s="550" t="s">
        <v>224</v>
      </c>
      <c r="C6" s="235" t="s">
        <v>154</v>
      </c>
      <c r="D6" s="554" t="s">
        <v>478</v>
      </c>
      <c r="E6" s="472"/>
      <c r="F6" s="269"/>
    </row>
    <row r="7" spans="2:35" ht="16.5">
      <c r="B7" s="552"/>
      <c r="C7" s="235" t="s">
        <v>226</v>
      </c>
      <c r="D7" s="554" t="s">
        <v>9</v>
      </c>
      <c r="E7" s="472"/>
      <c r="F7" s="269"/>
    </row>
    <row r="8" spans="2:35" ht="16.5">
      <c r="B8" s="552"/>
      <c r="C8" s="235" t="s">
        <v>88</v>
      </c>
      <c r="D8" s="554"/>
      <c r="E8" s="498"/>
      <c r="F8" s="270"/>
    </row>
    <row r="9" spans="2:35" ht="16.5">
      <c r="B9" s="553"/>
      <c r="C9" s="235" t="s">
        <v>227</v>
      </c>
      <c r="D9" s="554"/>
      <c r="E9" s="472"/>
      <c r="F9" s="269"/>
      <c r="G9" s="386"/>
    </row>
    <row r="11" spans="2:35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545"/>
      <c r="M11" s="545"/>
      <c r="N11" s="546"/>
      <c r="O11" s="546"/>
      <c r="P11" s="496"/>
      <c r="Q11" s="547" t="s">
        <v>142</v>
      </c>
      <c r="R11" s="548" t="s">
        <v>184</v>
      </c>
      <c r="S11" s="542" t="s">
        <v>169</v>
      </c>
      <c r="T11" s="542"/>
      <c r="U11" s="542" t="s">
        <v>335</v>
      </c>
    </row>
    <row r="12" spans="2:35">
      <c r="C12" s="543"/>
      <c r="D12" s="543"/>
      <c r="E12" s="543">
        <v>1</v>
      </c>
      <c r="F12" s="543"/>
      <c r="G12" s="543"/>
      <c r="H12" s="543"/>
      <c r="I12" s="543">
        <v>2</v>
      </c>
      <c r="J12" s="543"/>
      <c r="K12" s="543"/>
      <c r="L12" s="543"/>
      <c r="M12" s="543">
        <v>3</v>
      </c>
      <c r="N12" s="543"/>
      <c r="O12" s="543"/>
      <c r="P12" s="543"/>
      <c r="Q12" s="547"/>
      <c r="R12" s="549"/>
      <c r="S12" s="542"/>
      <c r="T12" s="542"/>
      <c r="U12" s="542"/>
      <c r="AB12" s="172"/>
    </row>
    <row r="13" spans="2:35" ht="27">
      <c r="C13" s="543"/>
      <c r="D13" s="543"/>
      <c r="E13" s="441" t="s">
        <v>150</v>
      </c>
      <c r="F13" s="440" t="s">
        <v>302</v>
      </c>
      <c r="G13" s="440" t="s">
        <v>152</v>
      </c>
      <c r="H13" s="440" t="s">
        <v>153</v>
      </c>
      <c r="I13" s="441" t="s">
        <v>150</v>
      </c>
      <c r="J13" s="440" t="s">
        <v>302</v>
      </c>
      <c r="K13" s="440" t="s">
        <v>152</v>
      </c>
      <c r="L13" s="440" t="s">
        <v>153</v>
      </c>
      <c r="M13" s="441" t="s">
        <v>150</v>
      </c>
      <c r="N13" s="440" t="s">
        <v>302</v>
      </c>
      <c r="O13" s="440" t="s">
        <v>152</v>
      </c>
      <c r="P13" s="440" t="s">
        <v>153</v>
      </c>
      <c r="Q13" s="547"/>
      <c r="R13" s="549"/>
      <c r="S13" s="440" t="s">
        <v>144</v>
      </c>
      <c r="T13" s="441" t="s">
        <v>168</v>
      </c>
      <c r="U13" s="543"/>
      <c r="W13" s="172" t="s">
        <v>170</v>
      </c>
      <c r="X13" s="267" t="s">
        <v>171</v>
      </c>
    </row>
    <row r="14" spans="2:35">
      <c r="C14" s="537" t="s">
        <v>145</v>
      </c>
      <c r="D14" s="180" t="s">
        <v>13</v>
      </c>
      <c r="E14" s="275">
        <f>IFERROR(VLOOKUP(D14,'미니게임_DATA(순)'!$A$4:$EV$60,136,0),0)</f>
        <v>181</v>
      </c>
      <c r="F14" s="273"/>
      <c r="G14" s="526">
        <f>RANK(E18,($E$18,$E$23,$E$28,$E$33,E$38,$E$43))</f>
        <v>1</v>
      </c>
      <c r="H14" s="526">
        <f>G14</f>
        <v>1</v>
      </c>
      <c r="I14" s="275">
        <f>IFERROR(VLOOKUP(D14,'미니게임_DATA(순)'!$A$4:$EV$60,137,0),0)</f>
        <v>122</v>
      </c>
      <c r="J14" s="273"/>
      <c r="K14" s="526">
        <f>RANK(I18,($I$18,$I$23,$I$28,$I$33,I$38,$I$43))</f>
        <v>5</v>
      </c>
      <c r="L14" s="526">
        <f>RANK(AA18,($AA$18,$AA$23,$AA$28,$AA$33,$AA$38,$AA$43))</f>
        <v>1</v>
      </c>
      <c r="M14" s="275">
        <f>IFERROR(VLOOKUP(D14,'미니게임_DATA(순)'!$A$4:$EV$60,138,0),0)</f>
        <v>107</v>
      </c>
      <c r="N14" s="273"/>
      <c r="O14" s="526">
        <f>RANK(M18,($M$18,$M$23,$M$28,$M$33,$M$38,$M$43))</f>
        <v>2</v>
      </c>
      <c r="P14" s="526">
        <f>S14</f>
        <v>2</v>
      </c>
      <c r="Q14" s="273">
        <f t="shared" ref="Q14:Q43" si="0">E14+I14+M14</f>
        <v>410</v>
      </c>
      <c r="R14" s="274">
        <f>AVERAGE(E14,I14,M14)</f>
        <v>136.66666666666666</v>
      </c>
      <c r="S14" s="529">
        <f>RANK(Q18,($Q$18,$Q$23,$Q$28,$Q$33,$Q$38,$Q$43))</f>
        <v>2</v>
      </c>
      <c r="T14" s="541">
        <f>MAX($Q$18,$Q$23,Q$28,Q$33,Q$38)-Q18</f>
        <v>125</v>
      </c>
      <c r="U14" s="184">
        <f>IFERROR(R14-VLOOKUP(D14,'미니게임_DATA(순)'!$A:$FB,MATCH("rct 20g avg",'미니게임_DATA(순)'!$A$3:$FB$3,0),0),0)</f>
        <v>-20.433333333333337</v>
      </c>
      <c r="W14" s="185">
        <f>MAX(E14,I14,M14)</f>
        <v>181</v>
      </c>
      <c r="X14" s="267">
        <f>R14</f>
        <v>136.66666666666666</v>
      </c>
      <c r="Y14" s="267" t="str">
        <f>VLOOKUP(Z14,'미니게임_DATA(순)'!$A$4:$C$45,3,0)</f>
        <v>남</v>
      </c>
      <c r="Z14" s="187" t="str">
        <f>D14</f>
        <v>정동현</v>
      </c>
      <c r="AI14" s="169" t="s">
        <v>299</v>
      </c>
    </row>
    <row r="15" spans="2:35">
      <c r="C15" s="538"/>
      <c r="D15" s="188" t="s">
        <v>281</v>
      </c>
      <c r="E15" s="275">
        <f>IFERROR(VLOOKUP(D15,'미니게임_DATA(순)'!$A$4:$EV$60,136,0),0)</f>
        <v>186</v>
      </c>
      <c r="F15" s="275"/>
      <c r="G15" s="527"/>
      <c r="H15" s="527"/>
      <c r="I15" s="275">
        <f>IFERROR(VLOOKUP(D15,'미니게임_DATA(순)'!$A$4:$EV$60,137,0),0)</f>
        <v>141</v>
      </c>
      <c r="J15" s="275"/>
      <c r="K15" s="527"/>
      <c r="L15" s="527"/>
      <c r="M15" s="275">
        <f>IFERROR(VLOOKUP(D15,'미니게임_DATA(순)'!$A$4:$EV$60,138,0),0)</f>
        <v>128</v>
      </c>
      <c r="N15" s="275"/>
      <c r="O15" s="527"/>
      <c r="P15" s="527"/>
      <c r="Q15" s="275">
        <f t="shared" si="0"/>
        <v>455</v>
      </c>
      <c r="R15" s="300">
        <f t="shared" ref="R15:R16" si="1">AVERAGE(E15,I15,M15)</f>
        <v>151.66666666666666</v>
      </c>
      <c r="S15" s="530"/>
      <c r="T15" s="527"/>
      <c r="U15" s="190">
        <f>IFERROR(R15-VLOOKUP(D15,'미니게임_DATA(순)'!$A:$FB,MATCH("rct 20g avg",'미니게임_DATA(순)'!$A$3:$FB$3,0),0),0)</f>
        <v>-8.9833333333333485</v>
      </c>
      <c r="W15" s="185">
        <f t="shared" ref="W15:W16" si="2">MAX(E15,I15,M15)</f>
        <v>186</v>
      </c>
      <c r="X15" s="267">
        <f t="shared" ref="X15:X16" si="3">R15</f>
        <v>151.66666666666666</v>
      </c>
      <c r="Y15" s="267" t="str">
        <f>VLOOKUP(Z15,'미니게임_DATA(순)'!$A$4:$C$45,3,0)</f>
        <v>여</v>
      </c>
      <c r="Z15" s="187" t="str">
        <f>D15</f>
        <v>오수인</v>
      </c>
    </row>
    <row r="16" spans="2:35">
      <c r="C16" s="538"/>
      <c r="D16" s="188" t="s">
        <v>404</v>
      </c>
      <c r="E16" s="275">
        <f>IFERROR(VLOOKUP(D16,'미니게임_DATA(순)'!$A$4:$EV$60,136,0),0)</f>
        <v>150</v>
      </c>
      <c r="F16" s="275"/>
      <c r="G16" s="527"/>
      <c r="H16" s="527"/>
      <c r="I16" s="275">
        <f>IFERROR(VLOOKUP(D16,'미니게임_DATA(순)'!$A$4:$EV$60,137,0),0)</f>
        <v>145</v>
      </c>
      <c r="J16" s="275"/>
      <c r="K16" s="527"/>
      <c r="L16" s="527"/>
      <c r="M16" s="275">
        <f>IFERROR(VLOOKUP(D16,'미니게임_DATA(순)'!$A$4:$EV$60,138,0),0)</f>
        <v>169</v>
      </c>
      <c r="N16" s="275"/>
      <c r="O16" s="527"/>
      <c r="P16" s="527"/>
      <c r="Q16" s="275">
        <f t="shared" si="0"/>
        <v>464</v>
      </c>
      <c r="R16" s="276">
        <f t="shared" si="1"/>
        <v>154.66666666666666</v>
      </c>
      <c r="S16" s="530"/>
      <c r="T16" s="527"/>
      <c r="U16" s="190">
        <f>IFERROR(R16-VLOOKUP(D16,'미니게임_DATA(순)'!$A:$FB,MATCH("rct 20g avg",'미니게임_DATA(순)'!$A$3:$FB$3,0),0),0)</f>
        <v>17.716666666666669</v>
      </c>
      <c r="W16" s="185">
        <f t="shared" si="2"/>
        <v>169</v>
      </c>
      <c r="X16" s="267">
        <f t="shared" si="3"/>
        <v>154.66666666666666</v>
      </c>
      <c r="Y16" s="267" t="str">
        <f>VLOOKUP(Z16,'미니게임_DATA(순)'!$A$4:$C$45,3,0)</f>
        <v>남</v>
      </c>
      <c r="Z16" s="187" t="str">
        <f>D16</f>
        <v>남준석</v>
      </c>
    </row>
    <row r="17" spans="3:27">
      <c r="C17" s="538"/>
      <c r="D17" s="191"/>
      <c r="E17" s="279"/>
      <c r="F17" s="279"/>
      <c r="G17" s="527"/>
      <c r="H17" s="527"/>
      <c r="I17" s="279"/>
      <c r="J17" s="279"/>
      <c r="K17" s="527"/>
      <c r="L17" s="527"/>
      <c r="M17" s="279"/>
      <c r="N17" s="279"/>
      <c r="O17" s="527"/>
      <c r="P17" s="527"/>
      <c r="Q17" s="279">
        <f t="shared" si="0"/>
        <v>0</v>
      </c>
      <c r="R17" s="276">
        <f t="shared" ref="R17" si="4">Q17/3</f>
        <v>0</v>
      </c>
      <c r="S17" s="530"/>
      <c r="T17" s="527"/>
      <c r="U17" s="190">
        <f>IFERROR(R17-VLOOKUP(D17,'미니게임_DATA(순)'!$A:$FB,MATCH("rct 20g avg",'미니게임_DATA(순)'!$A$3:$FB$3,0),0),0)</f>
        <v>0</v>
      </c>
      <c r="W17" s="185"/>
      <c r="Z17" s="187"/>
    </row>
    <row r="18" spans="3:27" ht="16.5">
      <c r="C18" s="539"/>
      <c r="D18" s="439"/>
      <c r="E18" s="535">
        <f>SUMIF(E14:F17, "&gt;0")</f>
        <v>517</v>
      </c>
      <c r="F18" s="498"/>
      <c r="G18" s="528"/>
      <c r="H18" s="528"/>
      <c r="I18" s="535">
        <f>SUMIF(I14:J17, "&gt;0")</f>
        <v>408</v>
      </c>
      <c r="J18" s="498"/>
      <c r="K18" s="528"/>
      <c r="L18" s="528"/>
      <c r="M18" s="535">
        <f>SUMIF(M14:N17, "&gt;0")</f>
        <v>404</v>
      </c>
      <c r="N18" s="498"/>
      <c r="O18" s="528"/>
      <c r="P18" s="528"/>
      <c r="Q18" s="272">
        <f t="shared" si="0"/>
        <v>1329</v>
      </c>
      <c r="R18" s="196"/>
      <c r="S18" s="531"/>
      <c r="T18" s="528"/>
      <c r="U18" s="277">
        <f>IFERROR(R18-VLOOKUP(D18,'미니게임_DATA(순)'!$A:$FB,MATCH("rct 20g avg",'미니게임_DATA(순)'!$A$3:$FB$3,0),0),0)</f>
        <v>0</v>
      </c>
      <c r="V18" s="185"/>
      <c r="W18" s="185"/>
      <c r="Z18" s="187">
        <f>D18</f>
        <v>0</v>
      </c>
      <c r="AA18" s="187">
        <f>SUM(E18,I18)</f>
        <v>925</v>
      </c>
    </row>
    <row r="19" spans="3:27">
      <c r="C19" s="537" t="s">
        <v>146</v>
      </c>
      <c r="D19" s="180" t="s">
        <v>37</v>
      </c>
      <c r="E19" s="275">
        <f>IFERROR(VLOOKUP(D19,'미니게임_DATA(순)'!$A$4:$EV$60,136,0),0)</f>
        <v>183</v>
      </c>
      <c r="F19" s="273"/>
      <c r="G19" s="526">
        <f>RANK(E23,($E$18,$E$23,$E$28,$E$33,E$38,$E$43))</f>
        <v>3</v>
      </c>
      <c r="H19" s="526">
        <f t="shared" ref="H19" si="5">G19</f>
        <v>3</v>
      </c>
      <c r="I19" s="275">
        <f>IFERROR(VLOOKUP(D19,'미니게임_DATA(순)'!$A$4:$EV$60,137,0),0)</f>
        <v>143</v>
      </c>
      <c r="J19" s="273"/>
      <c r="K19" s="526">
        <f>RANK(I23,($I$18,$I$23,$I$28,$I$33,I$38,$I$43))</f>
        <v>4</v>
      </c>
      <c r="L19" s="526">
        <f>RANK(AA23,($AA$18,$AA$23,$AA$28,$AA$33,$AA$38,$AA$43))</f>
        <v>5</v>
      </c>
      <c r="M19" s="275">
        <f>IFERROR(VLOOKUP(D19,'미니게임_DATA(순)'!$A$4:$EV$60,138,0),0)</f>
        <v>137</v>
      </c>
      <c r="N19" s="273"/>
      <c r="O19" s="526">
        <f>RANK(M23,($M$18,$M$23,$M$28,$M$33,$M$38,$M$43))</f>
        <v>5</v>
      </c>
      <c r="P19" s="526">
        <f t="shared" ref="P19" si="6">S19</f>
        <v>5</v>
      </c>
      <c r="Q19" s="273">
        <f t="shared" si="0"/>
        <v>463</v>
      </c>
      <c r="R19" s="274">
        <f>AVERAGE(E19,I19,M19)</f>
        <v>154.33333333333334</v>
      </c>
      <c r="S19" s="529">
        <f>RANK(Q23,($Q$18,$Q$23,$Q$28,$Q$33,$Q$38,$Q$43))</f>
        <v>5</v>
      </c>
      <c r="T19" s="532">
        <f>MAX($Q$18,$Q$23,Q$28,Q$33,Q$38)-Q23</f>
        <v>244</v>
      </c>
      <c r="U19" s="184">
        <f>IFERROR(R19-VLOOKUP(D19,'미니게임_DATA(순)'!$A:$FB,MATCH("rct 20g avg",'미니게임_DATA(순)'!$A$3:$FB$3,0),0),0)</f>
        <v>-12.766666666666652</v>
      </c>
      <c r="W19" s="185">
        <f>MAX(E19,I19,M19)</f>
        <v>183</v>
      </c>
      <c r="X19" s="267">
        <f>R19</f>
        <v>154.33333333333334</v>
      </c>
      <c r="Y19" s="267" t="str">
        <f>VLOOKUP(Z19,'미니게임_DATA(순)'!$A$4:$C$45,3,0)</f>
        <v>남</v>
      </c>
      <c r="Z19" s="187" t="str">
        <f>D19</f>
        <v>최은규</v>
      </c>
    </row>
    <row r="20" spans="3:27">
      <c r="C20" s="538"/>
      <c r="D20" s="188" t="s">
        <v>22</v>
      </c>
      <c r="E20" s="275">
        <f>IFERROR(VLOOKUP(D20,'미니게임_DATA(순)'!$A$4:$EV$60,136,0),0)</f>
        <v>143</v>
      </c>
      <c r="F20" s="275"/>
      <c r="G20" s="527"/>
      <c r="H20" s="527"/>
      <c r="I20" s="275">
        <f>IFERROR(VLOOKUP(D20,'미니게임_DATA(순)'!$A$4:$EV$60,137,0),0)</f>
        <v>169</v>
      </c>
      <c r="J20" s="275"/>
      <c r="K20" s="527"/>
      <c r="L20" s="527"/>
      <c r="M20" s="275">
        <f>IFERROR(VLOOKUP(D20,'미니게임_DATA(순)'!$A$4:$EV$60,138,0),0)</f>
        <v>114</v>
      </c>
      <c r="N20" s="275"/>
      <c r="O20" s="527"/>
      <c r="P20" s="527"/>
      <c r="Q20" s="275">
        <f t="shared" si="0"/>
        <v>426</v>
      </c>
      <c r="R20" s="300">
        <f t="shared" ref="R20:R21" si="7">AVERAGE(E20,I20,M20)</f>
        <v>142</v>
      </c>
      <c r="S20" s="530"/>
      <c r="T20" s="533"/>
      <c r="U20" s="190">
        <f>IFERROR(R20-VLOOKUP(D20,'미니게임_DATA(순)'!$A:$FB,MATCH("rct 20g avg",'미니게임_DATA(순)'!$A$3:$FB$3,0),0),0)</f>
        <v>-1.3000000000000114</v>
      </c>
      <c r="W20" s="185">
        <f t="shared" ref="W20:W21" si="8">MAX(E20,I20,M20)</f>
        <v>169</v>
      </c>
      <c r="X20" s="267">
        <f>R20</f>
        <v>142</v>
      </c>
      <c r="Y20" s="267" t="str">
        <f>VLOOKUP(Z20,'미니게임_DATA(순)'!$A$4:$C$45,3,0)</f>
        <v>남</v>
      </c>
      <c r="Z20" s="187" t="str">
        <f>D20</f>
        <v>이강은</v>
      </c>
    </row>
    <row r="21" spans="3:27">
      <c r="C21" s="538"/>
      <c r="D21" s="188" t="s">
        <v>474</v>
      </c>
      <c r="E21" s="275">
        <f>IFERROR(VLOOKUP(D21,'미니게임_DATA(순)'!$A$4:$EV$60,136,0),0)</f>
        <v>125</v>
      </c>
      <c r="F21" s="275"/>
      <c r="G21" s="527"/>
      <c r="H21" s="527"/>
      <c r="I21" s="275">
        <f>IFERROR(VLOOKUP(D21,'미니게임_DATA(순)'!$A$4:$EV$60,137,0),0)</f>
        <v>111</v>
      </c>
      <c r="J21" s="275"/>
      <c r="K21" s="527"/>
      <c r="L21" s="527"/>
      <c r="M21" s="275">
        <f>IFERROR(VLOOKUP(D21,'미니게임_DATA(순)'!$A$4:$EV$60,138,0),0)</f>
        <v>85</v>
      </c>
      <c r="N21" s="275"/>
      <c r="O21" s="527"/>
      <c r="P21" s="527"/>
      <c r="Q21" s="275">
        <f t="shared" si="0"/>
        <v>321</v>
      </c>
      <c r="R21" s="276">
        <f t="shared" si="7"/>
        <v>107</v>
      </c>
      <c r="S21" s="530"/>
      <c r="T21" s="533"/>
      <c r="U21" s="190">
        <f>IFERROR(R21-VLOOKUP(D21,'미니게임_DATA(순)'!$A:$FB,MATCH("rct 20g avg",'미니게임_DATA(순)'!$A$3:$FB$3,0),0),0)</f>
        <v>-4.0555555555555571</v>
      </c>
      <c r="W21" s="185">
        <f t="shared" si="8"/>
        <v>125</v>
      </c>
      <c r="X21" s="267">
        <f>R21</f>
        <v>107</v>
      </c>
      <c r="Z21" s="187" t="str">
        <f>D21</f>
        <v>차민</v>
      </c>
    </row>
    <row r="22" spans="3:27">
      <c r="C22" s="538"/>
      <c r="D22" s="188"/>
      <c r="E22" s="279"/>
      <c r="F22" s="279"/>
      <c r="G22" s="527"/>
      <c r="H22" s="527"/>
      <c r="I22" s="279"/>
      <c r="J22" s="279"/>
      <c r="K22" s="527"/>
      <c r="L22" s="527"/>
      <c r="M22" s="279"/>
      <c r="N22" s="279"/>
      <c r="O22" s="527"/>
      <c r="P22" s="527"/>
      <c r="Q22" s="279">
        <f t="shared" si="0"/>
        <v>0</v>
      </c>
      <c r="R22" s="276">
        <f t="shared" ref="R22" si="9">Q22/3</f>
        <v>0</v>
      </c>
      <c r="S22" s="530"/>
      <c r="T22" s="533"/>
      <c r="U22" s="190">
        <f>IFERROR(R22-VLOOKUP(D22,'미니게임_DATA(순)'!$A:$FB,MATCH("rct 20g avg",'미니게임_DATA(순)'!$A$3:$FB$3,0),0),0)</f>
        <v>0</v>
      </c>
      <c r="W22" s="185"/>
      <c r="Z22" s="187"/>
    </row>
    <row r="23" spans="3:27" ht="16.5">
      <c r="C23" s="539"/>
      <c r="D23" s="439"/>
      <c r="E23" s="535">
        <f>SUMIF(E19:F22, "&gt;0")</f>
        <v>451</v>
      </c>
      <c r="F23" s="498"/>
      <c r="G23" s="528"/>
      <c r="H23" s="528"/>
      <c r="I23" s="535">
        <f>SUMIF(I19:J22, "&gt;0")</f>
        <v>423</v>
      </c>
      <c r="J23" s="498"/>
      <c r="K23" s="528"/>
      <c r="L23" s="528"/>
      <c r="M23" s="535">
        <f>SUMIF(M19:N22, "&gt;0")</f>
        <v>336</v>
      </c>
      <c r="N23" s="498"/>
      <c r="O23" s="528"/>
      <c r="P23" s="528"/>
      <c r="Q23" s="272">
        <f t="shared" si="0"/>
        <v>1210</v>
      </c>
      <c r="R23" s="196"/>
      <c r="S23" s="531"/>
      <c r="T23" s="534"/>
      <c r="U23" s="277">
        <f>IFERROR(R23-VLOOKUP(D23,'미니게임_DATA(순)'!$A:$FB,MATCH("rct 20g avg",'미니게임_DATA(순)'!$A$3:$FB$3,0),0),0)</f>
        <v>0</v>
      </c>
      <c r="V23" s="185"/>
      <c r="W23" s="185"/>
      <c r="Z23" s="187">
        <f t="shared" ref="Z23:Z32" si="10">D23</f>
        <v>0</v>
      </c>
      <c r="AA23" s="187">
        <f>SUM(E23,I23)</f>
        <v>874</v>
      </c>
    </row>
    <row r="24" spans="3:27">
      <c r="C24" s="537" t="s">
        <v>147</v>
      </c>
      <c r="D24" s="180" t="s">
        <v>11</v>
      </c>
      <c r="E24" s="275">
        <f>IFERROR(VLOOKUP(D24,'미니게임_DATA(순)'!$A$4:$EV$60,136,0),0)</f>
        <v>171</v>
      </c>
      <c r="F24" s="273"/>
      <c r="G24" s="526">
        <f>RANK(E28,($E$18,$E$23,$E$28,$E$33,E$38,$E$43))</f>
        <v>2</v>
      </c>
      <c r="H24" s="526">
        <f t="shared" ref="H24" si="11">G24</f>
        <v>2</v>
      </c>
      <c r="I24" s="275">
        <f>IFERROR(VLOOKUP(D24,'미니게임_DATA(순)'!$A$4:$EV$60,137,0),0)</f>
        <v>118</v>
      </c>
      <c r="J24" s="273"/>
      <c r="K24" s="526">
        <f>RANK(I28,($I$18,$I$23,$I$28,$I$33,I$38,$I$43))</f>
        <v>3</v>
      </c>
      <c r="L24" s="526">
        <f>RANK(AA28,($AA$18,$AA$23,$AA$28,$AA$33,$AA$38,$AA$43))</f>
        <v>3</v>
      </c>
      <c r="M24" s="275">
        <f>IFERROR(VLOOKUP(D24,'미니게임_DATA(순)'!$A$4:$EV$60,138,0),0)</f>
        <v>215</v>
      </c>
      <c r="N24" s="273"/>
      <c r="O24" s="526">
        <f>RANK(M28,($M$18,$M$23,$M$28,$M$33,$M$38,$M$43))</f>
        <v>1</v>
      </c>
      <c r="P24" s="526">
        <f t="shared" ref="P24" si="12">S24</f>
        <v>1</v>
      </c>
      <c r="Q24" s="273">
        <f t="shared" si="0"/>
        <v>504</v>
      </c>
      <c r="R24" s="274">
        <f>AVERAGE(E24,I24,M24)</f>
        <v>168</v>
      </c>
      <c r="S24" s="529">
        <f>RANK(Q28,($Q$18,$Q$23,$Q$28,$Q$33,$Q$38,$Q$43))</f>
        <v>1</v>
      </c>
      <c r="T24" s="532">
        <f>MAX($Q$18,$Q$23,Q$28,Q$33,Q$38)-Q28</f>
        <v>0</v>
      </c>
      <c r="U24" s="184">
        <f>IFERROR(R24-VLOOKUP(D24,'미니게임_DATA(순)'!$A:$FB,MATCH("rct 20g avg",'미니게임_DATA(순)'!$A$3:$FB$3,0),0),0)</f>
        <v>9.8499999999999943</v>
      </c>
      <c r="W24" s="185">
        <f t="shared" ref="W24:W27" si="13">MAX(E24,I24,M24)</f>
        <v>215</v>
      </c>
      <c r="X24" s="267">
        <f>R24</f>
        <v>168</v>
      </c>
      <c r="Y24" s="267" t="s">
        <v>156</v>
      </c>
      <c r="Z24" s="187" t="str">
        <f t="shared" si="10"/>
        <v>박용승</v>
      </c>
    </row>
    <row r="25" spans="3:27">
      <c r="C25" s="538"/>
      <c r="D25" s="188" t="s">
        <v>282</v>
      </c>
      <c r="E25" s="275">
        <f>IFERROR(VLOOKUP(D25,'미니게임_DATA(순)'!$A$4:$EV$60,136,0),0)</f>
        <v>169</v>
      </c>
      <c r="F25" s="275"/>
      <c r="G25" s="527"/>
      <c r="H25" s="527"/>
      <c r="I25" s="275">
        <f>IFERROR(VLOOKUP(D25,'미니게임_DATA(순)'!$A$4:$EV$60,137,0),0)</f>
        <v>156</v>
      </c>
      <c r="J25" s="275"/>
      <c r="K25" s="527"/>
      <c r="L25" s="527"/>
      <c r="M25" s="275">
        <f>IFERROR(VLOOKUP(D25,'미니게임_DATA(순)'!$A$4:$EV$60,138,0),0)</f>
        <v>182</v>
      </c>
      <c r="N25" s="275"/>
      <c r="O25" s="527"/>
      <c r="P25" s="527"/>
      <c r="Q25" s="275">
        <f t="shared" si="0"/>
        <v>507</v>
      </c>
      <c r="R25" s="300">
        <f t="shared" ref="R25:R26" si="14">AVERAGE(E25,I25,M25)</f>
        <v>169</v>
      </c>
      <c r="S25" s="530"/>
      <c r="T25" s="533"/>
      <c r="U25" s="190">
        <f>IFERROR(R25-VLOOKUP(D25,'미니게임_DATA(순)'!$A:$FB,MATCH("rct 20g avg",'미니게임_DATA(순)'!$A$3:$FB$3,0),0),0)</f>
        <v>5.25</v>
      </c>
      <c r="W25" s="185">
        <f t="shared" si="13"/>
        <v>182</v>
      </c>
      <c r="X25" s="267">
        <f>R25</f>
        <v>169</v>
      </c>
      <c r="Y25" s="267" t="str">
        <f>VLOOKUP(Z25,'미니게임_DATA(순)'!$A$4:$C$45,3,0)</f>
        <v>여</v>
      </c>
      <c r="Z25" s="187" t="str">
        <f t="shared" si="10"/>
        <v>손하은</v>
      </c>
    </row>
    <row r="26" spans="3:27">
      <c r="C26" s="538"/>
      <c r="D26" s="188" t="s">
        <v>42</v>
      </c>
      <c r="E26" s="275">
        <f>IFERROR(VLOOKUP(D26,'미니게임_DATA(순)'!$A$4:$EV$60,136,0),0)</f>
        <v>151</v>
      </c>
      <c r="F26" s="275"/>
      <c r="G26" s="527"/>
      <c r="H26" s="527"/>
      <c r="I26" s="275">
        <f>IFERROR(VLOOKUP(D26,'미니게임_DATA(순)'!$A$4:$EV$60,137,0),0)</f>
        <v>154</v>
      </c>
      <c r="J26" s="275"/>
      <c r="K26" s="527"/>
      <c r="L26" s="527"/>
      <c r="M26" s="275">
        <f>IFERROR(VLOOKUP(D26,'미니게임_DATA(순)'!$A$4:$EV$60,138,0),0)</f>
        <v>138</v>
      </c>
      <c r="N26" s="275"/>
      <c r="O26" s="527"/>
      <c r="P26" s="527"/>
      <c r="Q26" s="275">
        <f t="shared" si="0"/>
        <v>443</v>
      </c>
      <c r="R26" s="276">
        <f t="shared" si="14"/>
        <v>147.66666666666666</v>
      </c>
      <c r="S26" s="530"/>
      <c r="T26" s="533"/>
      <c r="U26" s="190">
        <f>IFERROR(R26-VLOOKUP(D26,'미니게임_DATA(순)'!$A:$FB,MATCH("rct 20g avg",'미니게임_DATA(순)'!$A$3:$FB$3,0),0),0)</f>
        <v>14.466666666666669</v>
      </c>
      <c r="W26" s="185">
        <f t="shared" si="13"/>
        <v>154</v>
      </c>
      <c r="X26" s="267">
        <f>R26</f>
        <v>147.66666666666666</v>
      </c>
      <c r="Y26" s="267" t="str">
        <f>VLOOKUP(Z26,'미니게임_DATA(순)'!$A$4:$C$45,3,0)</f>
        <v>남</v>
      </c>
      <c r="Z26" s="187" t="str">
        <f t="shared" si="10"/>
        <v>권진현</v>
      </c>
    </row>
    <row r="27" spans="3:27">
      <c r="C27" s="538"/>
      <c r="D27" s="191"/>
      <c r="E27" s="302">
        <f>IFERROR(VLOOKUP(D27,'미니게임_DATA(순)'!$A$4:$EV$45,111,0),0)</f>
        <v>0</v>
      </c>
      <c r="F27" s="279"/>
      <c r="G27" s="527"/>
      <c r="H27" s="527"/>
      <c r="I27" s="302">
        <f>IFERROR(VLOOKUP(D27,'미니게임_DATA(순)'!$A$4:$EV$45,112,0),0)</f>
        <v>0</v>
      </c>
      <c r="J27" s="279"/>
      <c r="K27" s="527"/>
      <c r="L27" s="527"/>
      <c r="M27" s="302">
        <f>IFERROR(VLOOKUP(D27,'미니게임_DATA(순)'!$A$4:$EV$45,113,0),0)</f>
        <v>0</v>
      </c>
      <c r="N27" s="279"/>
      <c r="O27" s="527"/>
      <c r="P27" s="527"/>
      <c r="Q27" s="279">
        <f t="shared" si="0"/>
        <v>0</v>
      </c>
      <c r="R27" s="276">
        <f t="shared" ref="R27" si="15">Q27/3</f>
        <v>0</v>
      </c>
      <c r="S27" s="530"/>
      <c r="T27" s="533"/>
      <c r="U27" s="190">
        <f>IFERROR(R27-VLOOKUP(D27,'미니게임_DATA(순)'!$A:$FB,MATCH("rct 20g avg",'미니게임_DATA(순)'!$A$3:$FB$3,0),0),0)</f>
        <v>0</v>
      </c>
      <c r="W27" s="185">
        <f t="shared" si="13"/>
        <v>0</v>
      </c>
      <c r="X27" s="267">
        <f>R27</f>
        <v>0</v>
      </c>
      <c r="Y27" s="388" t="s">
        <v>239</v>
      </c>
      <c r="Z27" s="187">
        <f t="shared" si="10"/>
        <v>0</v>
      </c>
    </row>
    <row r="28" spans="3:27" ht="16.5">
      <c r="C28" s="539"/>
      <c r="D28" s="439"/>
      <c r="E28" s="535">
        <f>SUMIF(E24:F26, "&gt;0")</f>
        <v>491</v>
      </c>
      <c r="F28" s="498"/>
      <c r="G28" s="528"/>
      <c r="H28" s="528"/>
      <c r="I28" s="535">
        <f>SUMIF(I24:J26, "&gt;0")</f>
        <v>428</v>
      </c>
      <c r="J28" s="498"/>
      <c r="K28" s="528"/>
      <c r="L28" s="528"/>
      <c r="M28" s="535">
        <f>SUMIF(M24:N26, "&gt;0")</f>
        <v>535</v>
      </c>
      <c r="N28" s="498"/>
      <c r="O28" s="528"/>
      <c r="P28" s="528"/>
      <c r="Q28" s="272">
        <f t="shared" si="0"/>
        <v>1454</v>
      </c>
      <c r="R28" s="196"/>
      <c r="S28" s="531"/>
      <c r="T28" s="534"/>
      <c r="U28" s="277">
        <f>IFERROR(R28-VLOOKUP(D28,'미니게임_DATA(순)'!$A:$FB,MATCH("rct 20g avg",'미니게임_DATA(순)'!$A$3:$FB$3,0),0),0)</f>
        <v>0</v>
      </c>
      <c r="V28" s="185"/>
      <c r="W28" s="185"/>
      <c r="Z28" s="187">
        <f t="shared" si="10"/>
        <v>0</v>
      </c>
      <c r="AA28" s="187">
        <f>SUM(E28,I28)</f>
        <v>919</v>
      </c>
    </row>
    <row r="29" spans="3:27">
      <c r="C29" s="537" t="s">
        <v>148</v>
      </c>
      <c r="D29" s="180" t="s">
        <v>9</v>
      </c>
      <c r="E29" s="275">
        <f>IFERROR(VLOOKUP(D29,'미니게임_DATA(순)'!$A$4:$EV$60,136,0),0)</f>
        <v>135</v>
      </c>
      <c r="F29" s="273"/>
      <c r="G29" s="526">
        <f>RANK(E33,($E$18,$E$23,$E$28,$E$33,E$38,$E$43))</f>
        <v>5</v>
      </c>
      <c r="H29" s="526">
        <f t="shared" ref="H29" si="16">G29</f>
        <v>5</v>
      </c>
      <c r="I29" s="275">
        <f>IFERROR(VLOOKUP(D29,'미니게임_DATA(순)'!$A$4:$EV$60,137,0),0)</f>
        <v>247</v>
      </c>
      <c r="J29" s="273"/>
      <c r="K29" s="526">
        <f>RANK(I33,($I$18,$I$23,$I$28,$I$33,I$38,$I$43))</f>
        <v>1</v>
      </c>
      <c r="L29" s="526">
        <f>RANK(AA33,($AA$18,$AA$23,$AA$28,$AA$33,$AA$38,$AA$43))</f>
        <v>1</v>
      </c>
      <c r="M29" s="275">
        <f>IFERROR(VLOOKUP(D29,'미니게임_DATA(순)'!$A$4:$EV$60,138,0),0)</f>
        <v>110</v>
      </c>
      <c r="N29" s="273"/>
      <c r="O29" s="526">
        <f>RANK(M33,($M$18,$M$23,$M$28,$M$33,$M$38,$M$43))</f>
        <v>3</v>
      </c>
      <c r="P29" s="526">
        <f t="shared" ref="P29" si="17">S29</f>
        <v>3</v>
      </c>
      <c r="Q29" s="273">
        <f t="shared" si="0"/>
        <v>492</v>
      </c>
      <c r="R29" s="274">
        <f>AVERAGE(E29,I29,M29)</f>
        <v>164</v>
      </c>
      <c r="S29" s="529">
        <f>RANK(Q33,($Q$18,$Q$23,$Q$28,$Q$33,$Q$38,$Q$43))</f>
        <v>3</v>
      </c>
      <c r="T29" s="532">
        <f>MAX($Q$18,$Q$23,Q$28,Q$33,Q$38)-Q33</f>
        <v>134</v>
      </c>
      <c r="U29" s="184">
        <f>IFERROR(R29-VLOOKUP(D29,'미니게임_DATA(순)'!$A:$FB,MATCH("rct 20g avg",'미니게임_DATA(순)'!$A$3:$FB$3,0),0),0)</f>
        <v>6.8000000000000114</v>
      </c>
      <c r="W29" s="185">
        <f t="shared" ref="W29:W31" si="18">MAX(E29,I29,M29)</f>
        <v>247</v>
      </c>
      <c r="X29" s="267">
        <f>R29</f>
        <v>164</v>
      </c>
      <c r="Y29" s="267" t="str">
        <f>IFERROR(VLOOKUP(Z29,'미니게임_DATA(순)'!$A$4:$C$45,3,0),"-")</f>
        <v>남</v>
      </c>
      <c r="Z29" s="187" t="str">
        <f t="shared" si="10"/>
        <v>백동민</v>
      </c>
    </row>
    <row r="30" spans="3:27">
      <c r="C30" s="538"/>
      <c r="D30" s="188" t="s">
        <v>14</v>
      </c>
      <c r="E30" s="275">
        <f>IFERROR(VLOOKUP(D30,'미니게임_DATA(순)'!$A$4:$EV$60,136,0),0)</f>
        <v>176</v>
      </c>
      <c r="F30" s="275"/>
      <c r="G30" s="527"/>
      <c r="H30" s="527"/>
      <c r="I30" s="275">
        <f>IFERROR(VLOOKUP(D30,'미니게임_DATA(순)'!$A$4:$EV$60,137,0),0)</f>
        <v>155</v>
      </c>
      <c r="J30" s="275"/>
      <c r="K30" s="527"/>
      <c r="L30" s="527"/>
      <c r="M30" s="275">
        <f>IFERROR(VLOOKUP(D30,'미니게임_DATA(순)'!$A$4:$EV$60,138,0),0)</f>
        <v>157</v>
      </c>
      <c r="N30" s="275"/>
      <c r="O30" s="527"/>
      <c r="P30" s="527"/>
      <c r="Q30" s="275">
        <f t="shared" si="0"/>
        <v>488</v>
      </c>
      <c r="R30" s="300">
        <f t="shared" ref="R30" si="19">AVERAGE(E30,I30,M30)</f>
        <v>162.66666666666666</v>
      </c>
      <c r="S30" s="530"/>
      <c r="T30" s="533"/>
      <c r="U30" s="190">
        <f>IFERROR(R30-VLOOKUP(D30,'미니게임_DATA(순)'!$A:$FB,MATCH("rct 20g avg",'미니게임_DATA(순)'!$A$3:$FB$3,0),0),0)</f>
        <v>-1.8833333333333542</v>
      </c>
      <c r="W30" s="185">
        <f t="shared" si="18"/>
        <v>176</v>
      </c>
      <c r="X30" s="267">
        <f>R30</f>
        <v>162.66666666666666</v>
      </c>
      <c r="Y30" s="267" t="str">
        <f>IFERROR(VLOOKUP(Z30,'미니게임_DATA(순)'!$A$4:$C$45,3,0),"-")</f>
        <v>남</v>
      </c>
      <c r="Z30" s="187" t="str">
        <f t="shared" si="10"/>
        <v>채승엽</v>
      </c>
    </row>
    <row r="31" spans="3:27">
      <c r="C31" s="538"/>
      <c r="D31" s="188" t="s">
        <v>372</v>
      </c>
      <c r="E31" s="275">
        <f>IFERROR(VLOOKUP(D31,'미니게임_DATA(순)'!$A$4:$EV$60,136,0),0)</f>
        <v>70</v>
      </c>
      <c r="F31" s="275">
        <v>30</v>
      </c>
      <c r="G31" s="527"/>
      <c r="H31" s="527"/>
      <c r="I31" s="275">
        <f>IFERROR(VLOOKUP(D31,'미니게임_DATA(순)'!$A$4:$EV$60,137,0),0)</f>
        <v>82</v>
      </c>
      <c r="J31" s="275">
        <v>30</v>
      </c>
      <c r="K31" s="527"/>
      <c r="L31" s="527"/>
      <c r="M31" s="275">
        <f>IFERROR(VLOOKUP(D31,'미니게임_DATA(순)'!$A$4:$EV$60,138,0),0)</f>
        <v>98</v>
      </c>
      <c r="N31" s="275">
        <v>30</v>
      </c>
      <c r="O31" s="527"/>
      <c r="P31" s="527"/>
      <c r="Q31" s="275">
        <f t="shared" si="0"/>
        <v>250</v>
      </c>
      <c r="R31" s="276">
        <f t="shared" ref="R31:R32" si="20">Q31/3</f>
        <v>83.333333333333329</v>
      </c>
      <c r="S31" s="530"/>
      <c r="T31" s="533"/>
      <c r="U31" s="190">
        <f>IFERROR(R31-VLOOKUP(D31,'미니게임_DATA(순)'!$A:$FB,MATCH("rct 20g avg",'미니게임_DATA(순)'!$A$3:$FB$3,0),0),0)</f>
        <v>-13.416666666666671</v>
      </c>
      <c r="W31" s="185">
        <f t="shared" si="18"/>
        <v>98</v>
      </c>
      <c r="X31" s="267">
        <f>R31</f>
        <v>83.333333333333329</v>
      </c>
      <c r="Y31" s="267" t="str">
        <f>IFERROR(VLOOKUP(Z31,'미니게임_DATA(순)'!$A$4:$C$45,3,0),"-")</f>
        <v>남</v>
      </c>
      <c r="Z31" s="187" t="str">
        <f t="shared" si="10"/>
        <v>이경준</v>
      </c>
    </row>
    <row r="32" spans="3:27">
      <c r="C32" s="538"/>
      <c r="D32" s="188"/>
      <c r="E32" s="387">
        <f>IFERROR(VLOOKUP(D32,'미니게임_DATA(순)'!$A$4:$EV$45,115,0),0)</f>
        <v>0</v>
      </c>
      <c r="F32" s="279"/>
      <c r="G32" s="527"/>
      <c r="H32" s="527"/>
      <c r="I32" s="387">
        <f>IFERROR(VLOOKUP(D32,'미니게임_DATA(순)'!$A$4:$EV$45,116,0),0)</f>
        <v>0</v>
      </c>
      <c r="J32" s="279"/>
      <c r="K32" s="527"/>
      <c r="L32" s="527"/>
      <c r="M32" s="387">
        <f>IFERROR(VLOOKUP(D32,'미니게임_DATA(순)'!$A$4:$EV$45,117,0),0)</f>
        <v>0</v>
      </c>
      <c r="N32" s="279"/>
      <c r="O32" s="527"/>
      <c r="P32" s="527"/>
      <c r="Q32" s="279">
        <f t="shared" si="0"/>
        <v>0</v>
      </c>
      <c r="R32" s="276">
        <f t="shared" si="20"/>
        <v>0</v>
      </c>
      <c r="S32" s="530"/>
      <c r="T32" s="533"/>
      <c r="U32" s="190">
        <f>IFERROR(R32-VLOOKUP(D32,'미니게임_DATA(순)'!$A:$FB,MATCH("rct 20g avg",'미니게임_DATA(순)'!$A$3:$FB$3,0),0),0)</f>
        <v>0</v>
      </c>
      <c r="W32" s="185"/>
      <c r="Y32" s="267" t="str">
        <f>IFERROR(VLOOKUP(Z32,'미니게임_DATA(순)'!$A$4:$C$45,3,0),"-")</f>
        <v>-</v>
      </c>
      <c r="Z32" s="187">
        <f t="shared" si="10"/>
        <v>0</v>
      </c>
    </row>
    <row r="33" spans="2:28" ht="16.5">
      <c r="C33" s="539"/>
      <c r="D33" s="439"/>
      <c r="E33" s="535">
        <f>SUMIF(E29:F31, "&gt;0")</f>
        <v>411</v>
      </c>
      <c r="F33" s="498"/>
      <c r="G33" s="528"/>
      <c r="H33" s="528"/>
      <c r="I33" s="535">
        <f>SUMIF(I29:J31, "&gt;0")</f>
        <v>514</v>
      </c>
      <c r="J33" s="498"/>
      <c r="K33" s="528"/>
      <c r="L33" s="528"/>
      <c r="M33" s="535">
        <f>SUMIF(M29:N31, "&gt;0")</f>
        <v>395</v>
      </c>
      <c r="N33" s="536"/>
      <c r="O33" s="528"/>
      <c r="P33" s="528"/>
      <c r="Q33" s="272">
        <f t="shared" si="0"/>
        <v>1320</v>
      </c>
      <c r="R33" s="196"/>
      <c r="S33" s="531"/>
      <c r="T33" s="534"/>
      <c r="U33" s="277">
        <f>IFERROR(R33-VLOOKUP(D33,'미니게임_DATA(순)'!$A:$FB,MATCH("rct 20g avg",'미니게임_DATA(순)'!$A$3:$FB$3,0),0),0)</f>
        <v>0</v>
      </c>
      <c r="V33" s="185"/>
      <c r="W33" s="185"/>
      <c r="Y33" s="267" t="str">
        <f>IFERROR(VLOOKUP(Z33,'미니게임_DATA(순)'!$A$4:$C$45,3,0),"-")</f>
        <v>-</v>
      </c>
      <c r="Z33" s="187">
        <f>D33</f>
        <v>0</v>
      </c>
      <c r="AA33" s="187">
        <f>SUM(E33,I33)</f>
        <v>925</v>
      </c>
    </row>
    <row r="34" spans="2:28">
      <c r="C34" s="537" t="s">
        <v>149</v>
      </c>
      <c r="D34" s="180" t="s">
        <v>12</v>
      </c>
      <c r="E34" s="275">
        <f>IFERROR(VLOOKUP(D34,'미니게임_DATA(순)'!$A$4:$EV$50,136,0),0)</f>
        <v>147</v>
      </c>
      <c r="F34" s="273"/>
      <c r="G34" s="526">
        <f>RANK(E38,($E$18,$E$23,$E$28,$E$33,E$38,$E$43))</f>
        <v>4</v>
      </c>
      <c r="H34" s="526">
        <f t="shared" ref="H34" si="21">G34</f>
        <v>4</v>
      </c>
      <c r="I34" s="275">
        <f>IFERROR(VLOOKUP(D34,'미니게임_DATA(순)'!$A$4:$EV$60,137,0),0)</f>
        <v>172</v>
      </c>
      <c r="J34" s="273"/>
      <c r="K34" s="526">
        <f>RANK(I38,($I$18,$I$23,$I$28,$I$33,I$38,$I$43))</f>
        <v>2</v>
      </c>
      <c r="L34" s="526">
        <f>RANK(AA38,($AA$18,$AA$23,$AA$28,$AA$33,$AA$38,$AA$43))</f>
        <v>4</v>
      </c>
      <c r="M34" s="275">
        <f>IFERROR(VLOOKUP(D34,'미니게임_DATA(순)'!$A$4:$EV$60,138,0),0)</f>
        <v>140</v>
      </c>
      <c r="N34" s="273"/>
      <c r="O34" s="526">
        <f>RANK(M38,($M$18,$M$23,$M$28,$M$33,$M$38,$M$43))</f>
        <v>4</v>
      </c>
      <c r="P34" s="526">
        <f t="shared" ref="P34" si="22">S34</f>
        <v>4</v>
      </c>
      <c r="Q34" s="273">
        <f t="shared" si="0"/>
        <v>459</v>
      </c>
      <c r="R34" s="274">
        <f>AVERAGE(E34,I34,M34)</f>
        <v>153</v>
      </c>
      <c r="S34" s="529">
        <f>RANK(Q38,($Q$18,$Q$23,$Q$28,$Q$33,$Q$38,$Q$43))</f>
        <v>4</v>
      </c>
      <c r="T34" s="532">
        <f>MAX($Q$18,$Q$23,Q$28,Q$33,Q$38)-Q38</f>
        <v>178</v>
      </c>
      <c r="U34" s="184">
        <f>IFERROR(R34-VLOOKUP(D34,'미니게임_DATA(순)'!$A:$FB,MATCH("rct 20g avg",'미니게임_DATA(순)'!$A$3:$FB$3,0),0),0)</f>
        <v>3.4000000000000057</v>
      </c>
      <c r="W34" s="185">
        <f t="shared" ref="W34:W35" si="23">MAX(E34,I34,M34)</f>
        <v>172</v>
      </c>
      <c r="X34" s="267">
        <f>R34</f>
        <v>153</v>
      </c>
      <c r="Y34" s="267" t="str">
        <f>IFERROR(VLOOKUP(Z34,'미니게임_DATA(순)'!$A$4:$C$45,3,0),"-")</f>
        <v>여</v>
      </c>
      <c r="Z34" s="187" t="str">
        <f t="shared" ref="Z34:Z37" si="24">D34</f>
        <v>성소라</v>
      </c>
    </row>
    <row r="35" spans="2:28" s="172" customFormat="1">
      <c r="B35" s="169"/>
      <c r="C35" s="538"/>
      <c r="D35" s="188" t="s">
        <v>10</v>
      </c>
      <c r="E35" s="275">
        <f>IFERROR(VLOOKUP(D35,'미니게임_DATA(순)'!$A$4:$EV$50,136,0),0)</f>
        <v>156</v>
      </c>
      <c r="F35" s="275"/>
      <c r="G35" s="527"/>
      <c r="H35" s="527"/>
      <c r="I35" s="275">
        <f>IFERROR(VLOOKUP(D35,'미니게임_DATA(순)'!$A$4:$EV$60,137,0),0)</f>
        <v>152</v>
      </c>
      <c r="J35" s="275"/>
      <c r="K35" s="527"/>
      <c r="L35" s="527"/>
      <c r="M35" s="275">
        <f>IFERROR(VLOOKUP(D35,'미니게임_DATA(순)'!$A$4:$EV$60,138,0),0)</f>
        <v>119</v>
      </c>
      <c r="N35" s="275"/>
      <c r="O35" s="527"/>
      <c r="P35" s="527"/>
      <c r="Q35" s="275">
        <f t="shared" si="0"/>
        <v>427</v>
      </c>
      <c r="R35" s="300">
        <f t="shared" ref="R35" si="25">AVERAGE(E35,I35,M35)</f>
        <v>142.33333333333334</v>
      </c>
      <c r="S35" s="530"/>
      <c r="T35" s="533"/>
      <c r="U35" s="190">
        <f>IFERROR(R35-VLOOKUP(D35,'미니게임_DATA(순)'!$A:$FB,MATCH("rct 20g avg",'미니게임_DATA(순)'!$A$3:$FB$3,0),0),0)</f>
        <v>-8.5666666666666629</v>
      </c>
      <c r="W35" s="185">
        <f t="shared" si="23"/>
        <v>156</v>
      </c>
      <c r="X35" s="267">
        <f>R35</f>
        <v>142.33333333333334</v>
      </c>
      <c r="Y35" s="267" t="str">
        <f>IFERROR(VLOOKUP(Z35,'미니게임_DATA(순)'!$A$4:$C$45,3,0),"-")</f>
        <v>남</v>
      </c>
      <c r="Z35" s="187" t="str">
        <f t="shared" si="24"/>
        <v>김신철</v>
      </c>
      <c r="AA35" s="169"/>
      <c r="AB35" s="169"/>
    </row>
    <row r="36" spans="2:28" s="172" customFormat="1">
      <c r="B36" s="169"/>
      <c r="C36" s="538"/>
      <c r="D36" s="188" t="s">
        <v>221</v>
      </c>
      <c r="E36" s="275">
        <v>130</v>
      </c>
      <c r="F36" s="275"/>
      <c r="G36" s="527"/>
      <c r="H36" s="527"/>
      <c r="I36" s="275">
        <v>130</v>
      </c>
      <c r="J36" s="275"/>
      <c r="K36" s="527"/>
      <c r="L36" s="527"/>
      <c r="M36" s="275">
        <v>130</v>
      </c>
      <c r="N36" s="275"/>
      <c r="O36" s="527"/>
      <c r="P36" s="527"/>
      <c r="Q36" s="275">
        <f t="shared" si="0"/>
        <v>390</v>
      </c>
      <c r="R36" s="276">
        <f t="shared" ref="R36:R37" si="26">Q36/3</f>
        <v>130</v>
      </c>
      <c r="S36" s="530"/>
      <c r="T36" s="533"/>
      <c r="U36" s="190">
        <f>IFERROR(R36-VLOOKUP(D36,'미니게임_DATA(순)'!$A:$FB,MATCH("rct 20g avg",'미니게임_DATA(순)'!$A$3:$FB$3,0),0),0)</f>
        <v>0</v>
      </c>
      <c r="W36" s="185"/>
      <c r="X36" s="267">
        <f>R36</f>
        <v>130</v>
      </c>
      <c r="Y36" s="267" t="str">
        <f>IFERROR(VLOOKUP(Z36,'미니게임_DATA(순)'!$A$4:$C$45,3,0),"-")</f>
        <v>-</v>
      </c>
      <c r="Z36" s="187" t="str">
        <f t="shared" si="24"/>
        <v>동수</v>
      </c>
      <c r="AA36" s="169"/>
      <c r="AB36" s="169"/>
    </row>
    <row r="37" spans="2:28">
      <c r="C37" s="538"/>
      <c r="D37" s="188"/>
      <c r="E37" s="279"/>
      <c r="F37" s="279"/>
      <c r="G37" s="527"/>
      <c r="H37" s="527"/>
      <c r="I37" s="279"/>
      <c r="J37" s="279"/>
      <c r="K37" s="527"/>
      <c r="L37" s="527"/>
      <c r="M37" s="279"/>
      <c r="N37" s="279"/>
      <c r="O37" s="527"/>
      <c r="P37" s="527"/>
      <c r="Q37" s="279">
        <f t="shared" si="0"/>
        <v>0</v>
      </c>
      <c r="R37" s="276">
        <f t="shared" si="26"/>
        <v>0</v>
      </c>
      <c r="S37" s="530"/>
      <c r="T37" s="533"/>
      <c r="U37" s="190">
        <f>IFERROR(R37-VLOOKUP(D37,'미니게임_DATA(순)'!$A:$FB,MATCH("rct 20g avg",'미니게임_DATA(순)'!$A$3:$FB$3,0),0),0)</f>
        <v>0</v>
      </c>
      <c r="W37" s="185"/>
      <c r="Y37" s="267" t="str">
        <f>IFERROR(VLOOKUP(Z37,'미니게임_DATA(순)'!$A$4:$C$45,3,0),"-")</f>
        <v>-</v>
      </c>
      <c r="Z37" s="187">
        <f t="shared" si="24"/>
        <v>0</v>
      </c>
    </row>
    <row r="38" spans="2:28" ht="16.5">
      <c r="C38" s="539"/>
      <c r="D38" s="439"/>
      <c r="E38" s="535">
        <f>SUMIF(E34:F36, "&gt;0")</f>
        <v>433</v>
      </c>
      <c r="F38" s="498"/>
      <c r="G38" s="528"/>
      <c r="H38" s="528"/>
      <c r="I38" s="535">
        <f>SUMIF(I34:J36, "&gt;0")</f>
        <v>454</v>
      </c>
      <c r="J38" s="498"/>
      <c r="K38" s="528"/>
      <c r="L38" s="528"/>
      <c r="M38" s="535">
        <f>SUMIF(M34:N36, "&gt;0")</f>
        <v>389</v>
      </c>
      <c r="N38" s="536"/>
      <c r="O38" s="528"/>
      <c r="P38" s="528"/>
      <c r="Q38" s="272">
        <f t="shared" si="0"/>
        <v>1276</v>
      </c>
      <c r="R38" s="196"/>
      <c r="S38" s="531"/>
      <c r="T38" s="534"/>
      <c r="U38" s="277">
        <f>IFERROR(R38-VLOOKUP(D38,'미니게임_DATA(순)'!$A:$FB,MATCH("rct 20g avg",'미니게임_DATA(순)'!$A$3:$FB$3,0),0),0)</f>
        <v>0</v>
      </c>
      <c r="V38" s="185"/>
      <c r="W38" s="185"/>
      <c r="Y38" s="267" t="str">
        <f>IFERROR(VLOOKUP(Z38,'미니게임_DATA(순)'!$A$4:$C$45,3,0),"-")</f>
        <v>-</v>
      </c>
      <c r="Z38" s="187">
        <f>D38</f>
        <v>0</v>
      </c>
      <c r="AA38" s="187">
        <f>SUM(E38,I38)</f>
        <v>887</v>
      </c>
    </row>
    <row r="39" spans="2:28">
      <c r="C39" s="537" t="s">
        <v>373</v>
      </c>
      <c r="D39" s="180"/>
      <c r="E39" s="275">
        <f>IFERROR(VLOOKUP(D39,'미니게임_DATA(순)'!$A$4:$EV$50,124,0),0)</f>
        <v>0</v>
      </c>
      <c r="F39" s="273"/>
      <c r="G39" s="526">
        <f>RANK(E43,($E$18,$E$23,$E$28,$E$33,E$38,$E$43))</f>
        <v>6</v>
      </c>
      <c r="H39" s="526">
        <f t="shared" ref="H39" si="27">G39</f>
        <v>6</v>
      </c>
      <c r="I39" s="275">
        <f>IFERROR(VLOOKUP(D39,'미니게임_DATA(순)'!$A$4:$EV$50,125,0),0)</f>
        <v>0</v>
      </c>
      <c r="J39" s="273"/>
      <c r="K39" s="526">
        <f>RANK(I43,($I$18,$I$23,$I$28,$I$33,I$38,$I$43))</f>
        <v>6</v>
      </c>
      <c r="L39" s="526">
        <f>RANK(AA43,($AA$18,$AA$23,$AA$28,$AA$33,$AA$38,$AA$43))</f>
        <v>6</v>
      </c>
      <c r="M39" s="275">
        <f>IFERROR(VLOOKUP(D39,'미니게임_DATA(순)'!$A$4:$EV$50,126,0),0)</f>
        <v>0</v>
      </c>
      <c r="N39" s="273"/>
      <c r="O39" s="526">
        <f>RANK(M43,($M$18,$M$23,$M$28,$M$33,$M$38,$M$43))</f>
        <v>6</v>
      </c>
      <c r="P39" s="526">
        <f t="shared" ref="P39" si="28">S39</f>
        <v>6</v>
      </c>
      <c r="Q39" s="273">
        <f t="shared" si="0"/>
        <v>0</v>
      </c>
      <c r="R39" s="274">
        <f>AVERAGE(E39,I39,M39)</f>
        <v>0</v>
      </c>
      <c r="S39" s="529">
        <f>RANK(Q43,($Q$18,$Q$23,$Q$28,$Q$33,$Q$38,$Q$43))</f>
        <v>6</v>
      </c>
      <c r="T39" s="532">
        <f>MAX($Q$18,$Q$23,Q$28,Q$33,Q$38)-Q43</f>
        <v>1454</v>
      </c>
      <c r="U39" s="184">
        <f>IFERROR(R39-VLOOKUP(D39,'미니게임_DATA(순)'!$A:$FB,MATCH("rct 20g avg",'미니게임_DATA(순)'!$A$3:$FB$3,0),0),0)</f>
        <v>0</v>
      </c>
      <c r="W39" s="185">
        <f t="shared" ref="W39:W41" si="29">MAX(E39,I39,M39)</f>
        <v>0</v>
      </c>
      <c r="X39" s="267">
        <f>R39</f>
        <v>0</v>
      </c>
      <c r="Y39" s="267" t="str">
        <f>IFERROR(VLOOKUP(Z39,'미니게임_DATA(순)'!$A$4:$C$45,3,0),"-")</f>
        <v>-</v>
      </c>
      <c r="Z39" s="187">
        <f t="shared" ref="Z39:Z42" si="30">D39</f>
        <v>0</v>
      </c>
    </row>
    <row r="40" spans="2:28">
      <c r="C40" s="538"/>
      <c r="D40" s="188"/>
      <c r="E40" s="275">
        <f>IFERROR(VLOOKUP(D40,'미니게임_DATA(순)'!$A$4:$EV$50,124,0),0)</f>
        <v>0</v>
      </c>
      <c r="F40" s="275"/>
      <c r="G40" s="527"/>
      <c r="H40" s="527"/>
      <c r="I40" s="275">
        <f>IFERROR(VLOOKUP(D40,'미니게임_DATA(순)'!$A$4:$EV$50,125,0),0)</f>
        <v>0</v>
      </c>
      <c r="J40" s="275"/>
      <c r="K40" s="527"/>
      <c r="L40" s="527"/>
      <c r="M40" s="275">
        <f>IFERROR(VLOOKUP(D40,'미니게임_DATA(순)'!$A$4:$EV$50,126,0),0)</f>
        <v>0</v>
      </c>
      <c r="N40" s="275"/>
      <c r="O40" s="527"/>
      <c r="P40" s="527"/>
      <c r="Q40" s="275">
        <f t="shared" si="0"/>
        <v>0</v>
      </c>
      <c r="R40" s="300">
        <f t="shared" ref="R40" si="31">AVERAGE(E40,I40,M40)</f>
        <v>0</v>
      </c>
      <c r="S40" s="530"/>
      <c r="T40" s="533"/>
      <c r="U40" s="190">
        <f>IFERROR(R40-VLOOKUP(D40,'미니게임_DATA(순)'!$A:$FB,MATCH("rct 20g avg",'미니게임_DATA(순)'!$A$3:$FB$3,0),0),0)</f>
        <v>0</v>
      </c>
      <c r="W40" s="185">
        <f t="shared" si="29"/>
        <v>0</v>
      </c>
      <c r="X40" s="267">
        <f>R40</f>
        <v>0</v>
      </c>
      <c r="Y40" s="267" t="str">
        <f>IFERROR(VLOOKUP(Z40,'미니게임_DATA(순)'!$A$4:$C$45,3,0),"-")</f>
        <v>-</v>
      </c>
      <c r="Z40" s="187">
        <f t="shared" si="30"/>
        <v>0</v>
      </c>
    </row>
    <row r="41" spans="2:28">
      <c r="C41" s="538"/>
      <c r="D41" s="188"/>
      <c r="E41" s="275">
        <f>IFERROR(VLOOKUP(D41,'미니게임_DATA(순)'!$A$4:$EV$50,124,0),0)</f>
        <v>0</v>
      </c>
      <c r="F41" s="275"/>
      <c r="G41" s="527"/>
      <c r="H41" s="527"/>
      <c r="I41" s="275">
        <f>IFERROR(VLOOKUP(D41,'미니게임_DATA(순)'!$A$4:$EV$50,125,0),0)</f>
        <v>0</v>
      </c>
      <c r="J41" s="275"/>
      <c r="K41" s="527"/>
      <c r="L41" s="527"/>
      <c r="M41" s="275">
        <f>IFERROR(VLOOKUP(D41,'미니게임_DATA(순)'!$A$4:$EV$50,126,0),0)</f>
        <v>0</v>
      </c>
      <c r="N41" s="275"/>
      <c r="O41" s="527"/>
      <c r="P41" s="527"/>
      <c r="Q41" s="275">
        <f t="shared" si="0"/>
        <v>0</v>
      </c>
      <c r="R41" s="276">
        <f t="shared" ref="R41:R42" si="32">Q41/3</f>
        <v>0</v>
      </c>
      <c r="S41" s="530"/>
      <c r="T41" s="533"/>
      <c r="U41" s="190">
        <f>IFERROR(R41-VLOOKUP(D41,'미니게임_DATA(순)'!$A:$FB,MATCH("rct 20g avg",'미니게임_DATA(순)'!$A$3:$FB$3,0),0),0)</f>
        <v>0</v>
      </c>
      <c r="W41" s="185">
        <f t="shared" si="29"/>
        <v>0</v>
      </c>
      <c r="X41" s="267">
        <f>R41</f>
        <v>0</v>
      </c>
      <c r="Y41" s="267" t="str">
        <f>IFERROR(VLOOKUP(Z41,'미니게임_DATA(순)'!$A$4:$C$45,3,0),"-")</f>
        <v>-</v>
      </c>
      <c r="Z41" s="187">
        <f t="shared" si="30"/>
        <v>0</v>
      </c>
    </row>
    <row r="42" spans="2:28">
      <c r="C42" s="538"/>
      <c r="D42" s="188"/>
      <c r="E42" s="279"/>
      <c r="F42" s="279"/>
      <c r="G42" s="527"/>
      <c r="H42" s="527"/>
      <c r="I42" s="279"/>
      <c r="J42" s="279"/>
      <c r="K42" s="527"/>
      <c r="L42" s="527"/>
      <c r="M42" s="279"/>
      <c r="N42" s="279"/>
      <c r="O42" s="527"/>
      <c r="P42" s="527"/>
      <c r="Q42" s="279">
        <f t="shared" si="0"/>
        <v>0</v>
      </c>
      <c r="R42" s="276">
        <f t="shared" si="32"/>
        <v>0</v>
      </c>
      <c r="S42" s="530"/>
      <c r="T42" s="533"/>
      <c r="U42" s="190">
        <f>IFERROR(R42-VLOOKUP(D42,'미니게임_DATA(순)'!$A:$FB,MATCH("rct 20g avg",'미니게임_DATA(순)'!$A$3:$FB$3,0),0),0)</f>
        <v>0</v>
      </c>
      <c r="W42" s="185"/>
      <c r="Y42" s="267" t="str">
        <f>IFERROR(VLOOKUP(Z42,'미니게임_DATA(순)'!$A$4:$C$45,3,0),"-")</f>
        <v>-</v>
      </c>
      <c r="Z42" s="187">
        <f t="shared" si="30"/>
        <v>0</v>
      </c>
    </row>
    <row r="43" spans="2:28" ht="16.5">
      <c r="C43" s="539"/>
      <c r="D43" s="439"/>
      <c r="E43" s="535">
        <f>SUMIF(E39:F41, "&gt;0")</f>
        <v>0</v>
      </c>
      <c r="F43" s="498"/>
      <c r="G43" s="528"/>
      <c r="H43" s="528"/>
      <c r="I43" s="535">
        <f>SUMIF(I39:J41, "&gt;0")</f>
        <v>0</v>
      </c>
      <c r="J43" s="498"/>
      <c r="K43" s="528"/>
      <c r="L43" s="528"/>
      <c r="M43" s="535">
        <f>SUMIF(M39:N41, "&gt;0")</f>
        <v>0</v>
      </c>
      <c r="N43" s="536"/>
      <c r="O43" s="528"/>
      <c r="P43" s="528"/>
      <c r="Q43" s="272">
        <f t="shared" si="0"/>
        <v>0</v>
      </c>
      <c r="R43" s="196"/>
      <c r="S43" s="531"/>
      <c r="T43" s="534"/>
      <c r="U43" s="277">
        <f>IFERROR(R43-VLOOKUP(D43,'미니게임_DATA(순)'!$A:$FB,MATCH("rct 20g avg",'미니게임_DATA(순)'!$A$3:$FB$3,0),0),0)</f>
        <v>0</v>
      </c>
      <c r="W43" s="185"/>
      <c r="Y43" s="267" t="str">
        <f>IFERROR(VLOOKUP(Z43,'미니게임_DATA(순)'!$A$4:$C$45,3,0),"-")</f>
        <v>-</v>
      </c>
      <c r="Z43" s="187">
        <f>D43</f>
        <v>0</v>
      </c>
      <c r="AA43" s="187">
        <f>SUM(E43,I43)</f>
        <v>0</v>
      </c>
    </row>
  </sheetData>
  <mergeCells count="89">
    <mergeCell ref="P39:P43"/>
    <mergeCell ref="S39:S43"/>
    <mergeCell ref="T39:T43"/>
    <mergeCell ref="E43:F43"/>
    <mergeCell ref="I43:J43"/>
    <mergeCell ref="M43:N43"/>
    <mergeCell ref="O39:O43"/>
    <mergeCell ref="C39:C43"/>
    <mergeCell ref="G39:G43"/>
    <mergeCell ref="H39:H43"/>
    <mergeCell ref="K39:K43"/>
    <mergeCell ref="L39:L43"/>
    <mergeCell ref="P34:P38"/>
    <mergeCell ref="S34:S38"/>
    <mergeCell ref="T34:T38"/>
    <mergeCell ref="E38:F38"/>
    <mergeCell ref="I38:J38"/>
    <mergeCell ref="M38:N38"/>
    <mergeCell ref="O34:O38"/>
    <mergeCell ref="C34:C38"/>
    <mergeCell ref="G34:G38"/>
    <mergeCell ref="H34:H38"/>
    <mergeCell ref="K34:K38"/>
    <mergeCell ref="L34:L38"/>
    <mergeCell ref="P29:P33"/>
    <mergeCell ref="S29:S33"/>
    <mergeCell ref="T29:T33"/>
    <mergeCell ref="E33:F33"/>
    <mergeCell ref="I33:J33"/>
    <mergeCell ref="M33:N33"/>
    <mergeCell ref="O29:O33"/>
    <mergeCell ref="C29:C33"/>
    <mergeCell ref="G29:G33"/>
    <mergeCell ref="H29:H33"/>
    <mergeCell ref="K29:K33"/>
    <mergeCell ref="L29:L33"/>
    <mergeCell ref="P24:P28"/>
    <mergeCell ref="S24:S28"/>
    <mergeCell ref="T24:T28"/>
    <mergeCell ref="E28:F28"/>
    <mergeCell ref="I28:J28"/>
    <mergeCell ref="M28:N28"/>
    <mergeCell ref="O24:O28"/>
    <mergeCell ref="C24:C28"/>
    <mergeCell ref="G24:G28"/>
    <mergeCell ref="H24:H28"/>
    <mergeCell ref="K24:K28"/>
    <mergeCell ref="L24:L28"/>
    <mergeCell ref="P19:P23"/>
    <mergeCell ref="S19:S23"/>
    <mergeCell ref="T19:T23"/>
    <mergeCell ref="E23:F23"/>
    <mergeCell ref="I23:J23"/>
    <mergeCell ref="M23:N23"/>
    <mergeCell ref="O19:O23"/>
    <mergeCell ref="C19:C23"/>
    <mergeCell ref="G19:G23"/>
    <mergeCell ref="H19:H23"/>
    <mergeCell ref="K19:K23"/>
    <mergeCell ref="L19:L23"/>
    <mergeCell ref="P14:P18"/>
    <mergeCell ref="S14:S18"/>
    <mergeCell ref="T14:T18"/>
    <mergeCell ref="E18:F18"/>
    <mergeCell ref="I18:J18"/>
    <mergeCell ref="M18:N18"/>
    <mergeCell ref="U11:U13"/>
    <mergeCell ref="E12:H12"/>
    <mergeCell ref="I12:L12"/>
    <mergeCell ref="M12:P12"/>
    <mergeCell ref="C14:C18"/>
    <mergeCell ref="G14:G18"/>
    <mergeCell ref="H14:H18"/>
    <mergeCell ref="K14:K18"/>
    <mergeCell ref="L14:L18"/>
    <mergeCell ref="O14:O18"/>
    <mergeCell ref="C11:C13"/>
    <mergeCell ref="D11:D13"/>
    <mergeCell ref="E11:P11"/>
    <mergeCell ref="Q11:Q13"/>
    <mergeCell ref="R11:R13"/>
    <mergeCell ref="S11:T12"/>
    <mergeCell ref="B2:B3"/>
    <mergeCell ref="B4:B5"/>
    <mergeCell ref="B6:B9"/>
    <mergeCell ref="D6:E6"/>
    <mergeCell ref="D7:E7"/>
    <mergeCell ref="D8:E8"/>
    <mergeCell ref="D9:E9"/>
  </mergeCells>
  <phoneticPr fontId="2" type="noConversion"/>
  <conditionalFormatting sqref="G44:H1048576 O44:P1048576 K44:L1048576 O12:P13 G1:H13 K1:L13 O1:P10">
    <cfRule type="cellIs" dxfId="520" priority="57" operator="equal">
      <formula>1</formula>
    </cfRule>
  </conditionalFormatting>
  <conditionalFormatting sqref="P14:P33">
    <cfRule type="cellIs" dxfId="519" priority="55" operator="equal">
      <formula>1</formula>
    </cfRule>
  </conditionalFormatting>
  <conditionalFormatting sqref="G14:H14 H15:H33">
    <cfRule type="cellIs" dxfId="518" priority="56" operator="equal">
      <formula>1</formula>
    </cfRule>
  </conditionalFormatting>
  <conditionalFormatting sqref="K14:L14 L15:L18">
    <cfRule type="cellIs" dxfId="517" priority="54" operator="equal">
      <formula>1</formula>
    </cfRule>
  </conditionalFormatting>
  <conditionalFormatting sqref="O14">
    <cfRule type="cellIs" dxfId="516" priority="53" operator="equal">
      <formula>1</formula>
    </cfRule>
  </conditionalFormatting>
  <conditionalFormatting sqref="R5">
    <cfRule type="cellIs" dxfId="515" priority="52" operator="greaterThan">
      <formula>200</formula>
    </cfRule>
  </conditionalFormatting>
  <conditionalFormatting sqref="E2:E5">
    <cfRule type="cellIs" dxfId="514" priority="51" operator="greaterThan">
      <formula>199.5</formula>
    </cfRule>
  </conditionalFormatting>
  <conditionalFormatting sqref="E14:E17 E19:E22 E24:E27 E29:E31 I14:I17 I19:I22 I24:I27 I29:I32 M14:M17 M19:M22 M24:M27 M29:M32">
    <cfRule type="cellIs" dxfId="513" priority="50" operator="greaterThan">
      <formula>199.5</formula>
    </cfRule>
  </conditionalFormatting>
  <conditionalFormatting sqref="H34:H38">
    <cfRule type="cellIs" dxfId="512" priority="49" operator="equal">
      <formula>1</formula>
    </cfRule>
  </conditionalFormatting>
  <conditionalFormatting sqref="P34:P38">
    <cfRule type="cellIs" dxfId="511" priority="48" operator="equal">
      <formula>1</formula>
    </cfRule>
  </conditionalFormatting>
  <conditionalFormatting sqref="P39:P43">
    <cfRule type="cellIs" dxfId="510" priority="47" operator="equal">
      <formula>1</formula>
    </cfRule>
  </conditionalFormatting>
  <conditionalFormatting sqref="H39:H43">
    <cfRule type="cellIs" dxfId="509" priority="46" operator="equal">
      <formula>1</formula>
    </cfRule>
  </conditionalFormatting>
  <conditionalFormatting sqref="G19">
    <cfRule type="cellIs" dxfId="508" priority="45" operator="equal">
      <formula>1</formula>
    </cfRule>
  </conditionalFormatting>
  <conditionalFormatting sqref="G24">
    <cfRule type="cellIs" dxfId="507" priority="44" operator="equal">
      <formula>1</formula>
    </cfRule>
  </conditionalFormatting>
  <conditionalFormatting sqref="G29">
    <cfRule type="cellIs" dxfId="506" priority="43" operator="equal">
      <formula>1</formula>
    </cfRule>
  </conditionalFormatting>
  <conditionalFormatting sqref="G34">
    <cfRule type="cellIs" dxfId="505" priority="42" operator="equal">
      <formula>1</formula>
    </cfRule>
  </conditionalFormatting>
  <conditionalFormatting sqref="G39">
    <cfRule type="cellIs" dxfId="504" priority="41" operator="equal">
      <formula>1</formula>
    </cfRule>
  </conditionalFormatting>
  <conditionalFormatting sqref="K19">
    <cfRule type="cellIs" dxfId="503" priority="40" operator="equal">
      <formula>1</formula>
    </cfRule>
  </conditionalFormatting>
  <conditionalFormatting sqref="K24">
    <cfRule type="cellIs" dxfId="502" priority="39" operator="equal">
      <formula>1</formula>
    </cfRule>
  </conditionalFormatting>
  <conditionalFormatting sqref="K29">
    <cfRule type="cellIs" dxfId="501" priority="38" operator="equal">
      <formula>1</formula>
    </cfRule>
  </conditionalFormatting>
  <conditionalFormatting sqref="K34">
    <cfRule type="cellIs" dxfId="500" priority="37" operator="equal">
      <formula>1</formula>
    </cfRule>
  </conditionalFormatting>
  <conditionalFormatting sqref="K39">
    <cfRule type="cellIs" dxfId="499" priority="36" operator="equal">
      <formula>1</formula>
    </cfRule>
  </conditionalFormatting>
  <conditionalFormatting sqref="L19:L23">
    <cfRule type="cellIs" dxfId="498" priority="35" operator="equal">
      <formula>1</formula>
    </cfRule>
  </conditionalFormatting>
  <conditionalFormatting sqref="L24:L28">
    <cfRule type="cellIs" dxfId="497" priority="34" operator="equal">
      <formula>1</formula>
    </cfRule>
  </conditionalFormatting>
  <conditionalFormatting sqref="L29:L33">
    <cfRule type="cellIs" dxfId="496" priority="33" operator="equal">
      <formula>1</formula>
    </cfRule>
  </conditionalFormatting>
  <conditionalFormatting sqref="L34:L38">
    <cfRule type="cellIs" dxfId="495" priority="32" operator="equal">
      <formula>1</formula>
    </cfRule>
  </conditionalFormatting>
  <conditionalFormatting sqref="L39:L43">
    <cfRule type="cellIs" dxfId="494" priority="31" operator="equal">
      <formula>1</formula>
    </cfRule>
  </conditionalFormatting>
  <conditionalFormatting sqref="O19">
    <cfRule type="cellIs" dxfId="493" priority="30" operator="equal">
      <formula>1</formula>
    </cfRule>
  </conditionalFormatting>
  <conditionalFormatting sqref="O24">
    <cfRule type="cellIs" dxfId="492" priority="29" operator="equal">
      <formula>1</formula>
    </cfRule>
  </conditionalFormatting>
  <conditionalFormatting sqref="O29">
    <cfRule type="cellIs" dxfId="491" priority="28" operator="equal">
      <formula>1</formula>
    </cfRule>
  </conditionalFormatting>
  <conditionalFormatting sqref="O34">
    <cfRule type="cellIs" dxfId="490" priority="27" operator="equal">
      <formula>1</formula>
    </cfRule>
  </conditionalFormatting>
  <conditionalFormatting sqref="O39">
    <cfRule type="cellIs" dxfId="489" priority="26" operator="equal">
      <formula>1</formula>
    </cfRule>
  </conditionalFormatting>
  <conditionalFormatting sqref="E39">
    <cfRule type="cellIs" dxfId="488" priority="22" operator="greaterThan">
      <formula>199.5</formula>
    </cfRule>
  </conditionalFormatting>
  <conditionalFormatting sqref="E40">
    <cfRule type="cellIs" dxfId="487" priority="21" operator="greaterThan">
      <formula>199.5</formula>
    </cfRule>
  </conditionalFormatting>
  <conditionalFormatting sqref="E41">
    <cfRule type="cellIs" dxfId="486" priority="20" operator="greaterThan">
      <formula>199.5</formula>
    </cfRule>
  </conditionalFormatting>
  <conditionalFormatting sqref="I41">
    <cfRule type="cellIs" dxfId="485" priority="15" operator="greaterThan">
      <formula>199.5</formula>
    </cfRule>
  </conditionalFormatting>
  <conditionalFormatting sqref="I39">
    <cfRule type="cellIs" dxfId="484" priority="17" operator="greaterThan">
      <formula>199.5</formula>
    </cfRule>
  </conditionalFormatting>
  <conditionalFormatting sqref="I40">
    <cfRule type="cellIs" dxfId="483" priority="16" operator="greaterThan">
      <formula>199.5</formula>
    </cfRule>
  </conditionalFormatting>
  <conditionalFormatting sqref="M36">
    <cfRule type="cellIs" dxfId="482" priority="12" operator="greaterThan">
      <formula>199.5</formula>
    </cfRule>
  </conditionalFormatting>
  <conditionalFormatting sqref="M39">
    <cfRule type="cellIs" dxfId="481" priority="11" operator="greaterThan">
      <formula>199.5</formula>
    </cfRule>
  </conditionalFormatting>
  <conditionalFormatting sqref="M40">
    <cfRule type="cellIs" dxfId="480" priority="10" operator="greaterThan">
      <formula>199.5</formula>
    </cfRule>
  </conditionalFormatting>
  <conditionalFormatting sqref="M41">
    <cfRule type="cellIs" dxfId="479" priority="9" operator="greaterThan">
      <formula>199.5</formula>
    </cfRule>
  </conditionalFormatting>
  <conditionalFormatting sqref="I36">
    <cfRule type="cellIs" dxfId="478" priority="8" operator="greaterThan">
      <formula>199.5</formula>
    </cfRule>
  </conditionalFormatting>
  <conditionalFormatting sqref="E34">
    <cfRule type="cellIs" dxfId="477" priority="7" operator="greaterThan">
      <formula>199.5</formula>
    </cfRule>
  </conditionalFormatting>
  <conditionalFormatting sqref="E35">
    <cfRule type="cellIs" dxfId="476" priority="6" operator="greaterThan">
      <formula>199.5</formula>
    </cfRule>
  </conditionalFormatting>
  <conditionalFormatting sqref="E36">
    <cfRule type="cellIs" dxfId="475" priority="5" operator="greaterThan">
      <formula>199.5</formula>
    </cfRule>
  </conditionalFormatting>
  <conditionalFormatting sqref="I34">
    <cfRule type="cellIs" dxfId="474" priority="4" operator="greaterThan">
      <formula>199.5</formula>
    </cfRule>
  </conditionalFormatting>
  <conditionalFormatting sqref="I35">
    <cfRule type="cellIs" dxfId="473" priority="3" operator="greaterThan">
      <formula>199.5</formula>
    </cfRule>
  </conditionalFormatting>
  <conditionalFormatting sqref="M34">
    <cfRule type="cellIs" dxfId="472" priority="2" operator="greaterThan">
      <formula>199.5</formula>
    </cfRule>
  </conditionalFormatting>
  <conditionalFormatting sqref="M35">
    <cfRule type="cellIs" dxfId="471" priority="1" operator="greaterThan">
      <formula>199.5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0.59999389629810485"/>
  </sheetPr>
  <dimension ref="A1:Q40"/>
  <sheetViews>
    <sheetView zoomScale="85" zoomScaleNormal="85" workbookViewId="0">
      <pane ySplit="1" topLeftCell="A2" activePane="bottomLeft" state="frozen"/>
      <selection pane="bottomLeft" activeCell="B7" sqref="B7"/>
    </sheetView>
  </sheetViews>
  <sheetFormatPr defaultColWidth="9" defaultRowHeight="16.5"/>
  <cols>
    <col min="1" max="1" width="10" style="81" bestFit="1" customWidth="1"/>
    <col min="2" max="2" width="11" style="81" bestFit="1" customWidth="1"/>
    <col min="3" max="3" width="9" style="81"/>
    <col min="4" max="4" width="10" style="81" bestFit="1" customWidth="1"/>
    <col min="5" max="8" width="9" style="81"/>
    <col min="9" max="9" width="10.75" style="81" bestFit="1" customWidth="1"/>
    <col min="10" max="10" width="21.375" style="81" bestFit="1" customWidth="1"/>
    <col min="11" max="11" width="9" style="158" hidden="1" customWidth="1"/>
    <col min="12" max="13" width="0" style="81" hidden="1" customWidth="1"/>
    <col min="14" max="16384" width="9" style="81"/>
  </cols>
  <sheetData>
    <row r="1" spans="1:17">
      <c r="A1" s="46" t="s">
        <v>188</v>
      </c>
      <c r="B1" s="46" t="s">
        <v>44</v>
      </c>
      <c r="C1" s="46" t="s">
        <v>195</v>
      </c>
      <c r="D1" s="116" t="s">
        <v>187</v>
      </c>
      <c r="E1" s="116" t="s">
        <v>186</v>
      </c>
      <c r="F1" s="116" t="s">
        <v>185</v>
      </c>
      <c r="G1" s="116" t="s">
        <v>314</v>
      </c>
      <c r="H1" s="150" t="s">
        <v>189</v>
      </c>
      <c r="I1" s="152" t="s">
        <v>317</v>
      </c>
      <c r="J1" s="152" t="s">
        <v>318</v>
      </c>
      <c r="L1" s="331" t="s">
        <v>322</v>
      </c>
      <c r="M1" s="331"/>
      <c r="O1" s="333" t="s">
        <v>322</v>
      </c>
      <c r="P1" s="333" t="s">
        <v>323</v>
      </c>
      <c r="Q1" s="334" t="s">
        <v>324</v>
      </c>
    </row>
    <row r="2" spans="1:17">
      <c r="A2" s="151">
        <f>SUBTOTAL(103,$B$2:B2)*1</f>
        <v>1</v>
      </c>
      <c r="B2" s="148" t="s">
        <v>65</v>
      </c>
      <c r="C2" s="148" t="str">
        <f>VLOOKUP(B2,'미니게임_DATA(순)'!$A:$BW,MATCH("성별",'미니게임_DATA(순)'!$A$3:$BW$3,0),0)</f>
        <v>남</v>
      </c>
      <c r="D2" s="231">
        <v>172.5</v>
      </c>
      <c r="E2" s="231">
        <v>198.64285714285714</v>
      </c>
      <c r="F2" s="341" t="e">
        <v>#N/A</v>
      </c>
      <c r="G2" s="231">
        <f>VLOOKUP($B2,'미니게임_년도별 하이'!$A$13:$K$53,11,)</f>
        <v>203.16666666666666</v>
      </c>
      <c r="H2" s="232">
        <f t="shared" ref="H2:H7" si="0">AVERAGEIFS(D2:G2,D2:G2,"&lt;&gt;#N/A",D2:G2,"&gt;0")</f>
        <v>191.43650793650792</v>
      </c>
      <c r="I2" s="231">
        <f>VLOOKUP($B2,'미니게임_년도별 하이'!$A$13:$K$53,10,)</f>
        <v>288</v>
      </c>
      <c r="J2" s="232"/>
      <c r="K2" s="158" t="str">
        <f t="shared" ref="K2:K36" si="1">B2</f>
        <v>양근석</v>
      </c>
      <c r="L2" s="81">
        <f>RANK(G2,$G$2:$G$29)</f>
        <v>1</v>
      </c>
      <c r="M2" s="81" t="str">
        <f>B2</f>
        <v>양근석</v>
      </c>
      <c r="O2" s="41">
        <v>1</v>
      </c>
      <c r="P2" s="41" t="str">
        <f>VLOOKUP(O2,$L:$M,2,0)</f>
        <v>양근석</v>
      </c>
      <c r="Q2" s="332">
        <f>VLOOKUP(P2,$B:$G,6,0)</f>
        <v>203.16666666666666</v>
      </c>
    </row>
    <row r="3" spans="1:17">
      <c r="A3" s="151">
        <f>SUBTOTAL(103,$B$2:B3)*1</f>
        <v>2</v>
      </c>
      <c r="B3" s="148" t="s">
        <v>76</v>
      </c>
      <c r="C3" s="148" t="str">
        <f>VLOOKUP(B3,'미니게임_DATA(순)'!$A:$BW,MATCH("성별",'미니게임_DATA(순)'!$A$3:$BW$3,0),0)</f>
        <v>남</v>
      </c>
      <c r="D3" s="231">
        <v>172.1</v>
      </c>
      <c r="E3" s="231">
        <v>176.75</v>
      </c>
      <c r="F3" s="319">
        <v>184.361111111111</v>
      </c>
      <c r="G3" s="231">
        <f>VLOOKUP($B3,'미니게임_년도별 하이'!$A$13:$K$53,11,)</f>
        <v>182.56666666666666</v>
      </c>
      <c r="H3" s="232">
        <f t="shared" si="0"/>
        <v>178.9444444444444</v>
      </c>
      <c r="I3" s="231">
        <f>VLOOKUP($B3,'미니게임_년도별 하이'!$A$13:$K$53,10,)</f>
        <v>245</v>
      </c>
      <c r="J3" s="232">
        <f t="shared" ref="J3:J35" si="2">IFERROR(IF(G3=0,0,IF(F3 = 0, 0, G3- F3)), 0)</f>
        <v>-1.7944444444443377</v>
      </c>
      <c r="K3" s="261" t="str">
        <f t="shared" si="1"/>
        <v>조문수</v>
      </c>
      <c r="L3" s="81">
        <f t="shared" ref="L3:L29" si="3">RANK(G3,$G$2:$G$29)</f>
        <v>2</v>
      </c>
      <c r="M3" s="81" t="str">
        <f t="shared" ref="M3:M36" si="4">B3</f>
        <v>조문수</v>
      </c>
      <c r="O3" s="41">
        <v>2</v>
      </c>
      <c r="P3" s="41" t="str">
        <f t="shared" ref="P3:P11" si="5">VLOOKUP(O3,$L:$M,2,0)</f>
        <v>조문수</v>
      </c>
      <c r="Q3" s="332">
        <f t="shared" ref="Q3:Q11" si="6">VLOOKUP(P3,$B:$G,6,0)</f>
        <v>182.56666666666666</v>
      </c>
    </row>
    <row r="4" spans="1:17">
      <c r="A4" s="151">
        <f>SUBTOTAL(103,$B$2:B4)*1</f>
        <v>3</v>
      </c>
      <c r="B4" s="148" t="s">
        <v>81</v>
      </c>
      <c r="C4" s="148" t="str">
        <f>VLOOKUP(B4,'미니게임_DATA(순)'!$A:$BW,MATCH("성별",'미니게임_DATA(순)'!$A$3:$BW$3,0),0)</f>
        <v>남</v>
      </c>
      <c r="D4" s="231">
        <v>158.75</v>
      </c>
      <c r="E4" s="231">
        <v>162</v>
      </c>
      <c r="F4" s="319">
        <v>169.75555555555556</v>
      </c>
      <c r="G4" s="231">
        <f>VLOOKUP($B4,'미니게임_년도별 하이'!$A$13:$K$53,11,)</f>
        <v>168.07142857142858</v>
      </c>
      <c r="H4" s="232">
        <f t="shared" si="0"/>
        <v>164.64424603174604</v>
      </c>
      <c r="I4" s="231">
        <f>VLOOKUP($B4,'미니게임_년도별 하이'!$A$13:$K$53,10,)</f>
        <v>220</v>
      </c>
      <c r="J4" s="232">
        <f t="shared" si="2"/>
        <v>-1.6841269841269764</v>
      </c>
      <c r="K4" s="158" t="str">
        <f t="shared" si="1"/>
        <v>최은규</v>
      </c>
      <c r="L4" s="81">
        <f t="shared" si="3"/>
        <v>3</v>
      </c>
      <c r="M4" s="81" t="str">
        <f t="shared" si="4"/>
        <v>최은규</v>
      </c>
      <c r="O4" s="41">
        <v>3</v>
      </c>
      <c r="P4" s="41" t="str">
        <f t="shared" si="5"/>
        <v>최은규</v>
      </c>
      <c r="Q4" s="332">
        <f t="shared" si="6"/>
        <v>168.07142857142858</v>
      </c>
    </row>
    <row r="5" spans="1:17">
      <c r="A5" s="151">
        <f>SUBTOTAL(103,$B$2:B5)*1</f>
        <v>4</v>
      </c>
      <c r="B5" s="148" t="s">
        <v>75</v>
      </c>
      <c r="C5" s="148" t="str">
        <f>VLOOKUP(B5,'미니게임_DATA(순)'!$A:$BW,MATCH("성별",'미니게임_DATA(순)'!$A$3:$BW$3,0),0)</f>
        <v>남</v>
      </c>
      <c r="D5" s="231">
        <v>170.8</v>
      </c>
      <c r="E5" s="231">
        <v>166.58064516129033</v>
      </c>
      <c r="F5" s="319">
        <v>167.33333333333334</v>
      </c>
      <c r="G5" s="231">
        <f>VLOOKUP($B5,'미니게임_년도별 하이'!$A$13:$K$65,11,)</f>
        <v>159.83333333333334</v>
      </c>
      <c r="H5" s="232">
        <f t="shared" si="0"/>
        <v>166.13682795698926</v>
      </c>
      <c r="I5" s="231">
        <f>VLOOKUP($B5,'미니게임_년도별 하이'!$A$13:$K$65,10,)</f>
        <v>223</v>
      </c>
      <c r="J5" s="232">
        <f t="shared" si="2"/>
        <v>-7.5</v>
      </c>
      <c r="K5" s="158" t="str">
        <f t="shared" si="1"/>
        <v>정동현</v>
      </c>
      <c r="L5" s="81">
        <f t="shared" si="3"/>
        <v>8</v>
      </c>
      <c r="M5" s="81" t="str">
        <f t="shared" si="4"/>
        <v>정동현</v>
      </c>
      <c r="O5" s="41">
        <v>4</v>
      </c>
      <c r="P5" s="41" t="str">
        <f t="shared" si="5"/>
        <v>천재복</v>
      </c>
      <c r="Q5" s="332">
        <f t="shared" si="6"/>
        <v>161.66666666666666</v>
      </c>
    </row>
    <row r="6" spans="1:17">
      <c r="A6" s="151">
        <f>SUBTOTAL(103,$B$2:B6)*1</f>
        <v>5</v>
      </c>
      <c r="B6" s="148" t="s">
        <v>68</v>
      </c>
      <c r="C6" s="148" t="str">
        <f>VLOOKUP(B6,'미니게임_DATA(순)'!$A:$BW,MATCH("성별",'미니게임_DATA(순)'!$A$3:$BW$3,0),0)</f>
        <v>남</v>
      </c>
      <c r="D6" s="341" t="e">
        <v>#N/A</v>
      </c>
      <c r="E6" s="231">
        <v>157.89285714285714</v>
      </c>
      <c r="F6" s="319">
        <v>161.26190476190476</v>
      </c>
      <c r="G6" s="231">
        <f>VLOOKUP($B6,'미니게임_년도별 하이'!$A$13:$K$53,11,)</f>
        <v>160.14285714285714</v>
      </c>
      <c r="H6" s="232">
        <f t="shared" si="0"/>
        <v>159.76587301587301</v>
      </c>
      <c r="I6" s="231">
        <f>VLOOKUP($B6,'미니게임_년도별 하이'!$A$13:$K$53,10,)</f>
        <v>201</v>
      </c>
      <c r="J6" s="232">
        <f t="shared" si="2"/>
        <v>-1.1190476190476204</v>
      </c>
      <c r="K6" s="158" t="str">
        <f t="shared" si="1"/>
        <v>이수용</v>
      </c>
      <c r="L6" s="81">
        <f t="shared" si="3"/>
        <v>7</v>
      </c>
      <c r="M6" s="81" t="str">
        <f t="shared" si="4"/>
        <v>이수용</v>
      </c>
      <c r="O6" s="41">
        <v>5</v>
      </c>
      <c r="P6" s="41" t="str">
        <f t="shared" si="5"/>
        <v>전병기</v>
      </c>
      <c r="Q6" s="332">
        <f t="shared" si="6"/>
        <v>161</v>
      </c>
    </row>
    <row r="7" spans="1:17">
      <c r="A7" s="151">
        <f>SUBTOTAL(103,$B$2:B7)*1</f>
        <v>6</v>
      </c>
      <c r="B7" s="148" t="s">
        <v>80</v>
      </c>
      <c r="C7" s="148" t="str">
        <f>VLOOKUP(B7,'미니게임_DATA(순)'!$A:$BW,MATCH("성별",'미니게임_DATA(순)'!$A$3:$BW$3,0),0)</f>
        <v>남</v>
      </c>
      <c r="D7" s="231">
        <v>156.4</v>
      </c>
      <c r="E7" s="231">
        <v>167.51724137931035</v>
      </c>
      <c r="F7" s="319">
        <v>175.42857142857142</v>
      </c>
      <c r="G7" s="231">
        <f>VLOOKUP($B7,'미니게임_년도별 하이'!$A$13:$K$65,11,)</f>
        <v>161.66666666666666</v>
      </c>
      <c r="H7" s="232">
        <f t="shared" si="0"/>
        <v>165.2531198686371</v>
      </c>
      <c r="I7" s="231">
        <f>VLOOKUP($B7,'미니게임_년도별 하이'!$A$13:$K$65,10,)</f>
        <v>188</v>
      </c>
      <c r="J7" s="232">
        <f t="shared" si="2"/>
        <v>-13.761904761904759</v>
      </c>
      <c r="K7" s="158" t="str">
        <f t="shared" si="1"/>
        <v>천재복</v>
      </c>
      <c r="L7" s="81">
        <f t="shared" si="3"/>
        <v>4</v>
      </c>
      <c r="M7" s="81" t="str">
        <f t="shared" si="4"/>
        <v>천재복</v>
      </c>
      <c r="O7" s="41">
        <v>6</v>
      </c>
      <c r="P7" s="41" t="str">
        <f t="shared" si="5"/>
        <v>손하은</v>
      </c>
      <c r="Q7" s="332">
        <f t="shared" si="6"/>
        <v>160.33333333333334</v>
      </c>
    </row>
    <row r="8" spans="1:17">
      <c r="A8" s="151">
        <f>SUBTOTAL(103,$B$2:B8)*1</f>
        <v>7</v>
      </c>
      <c r="B8" s="41" t="s">
        <v>470</v>
      </c>
      <c r="C8" s="148" t="str">
        <f>VLOOKUP(B8,'미니게임_DATA(순)'!$A:$BW,MATCH("성별",'미니게임_DATA(순)'!$A$3:$BW$3,0),0)</f>
        <v>남</v>
      </c>
      <c r="D8" s="341" t="e">
        <v>#N/A</v>
      </c>
      <c r="E8" s="41"/>
      <c r="F8" s="41"/>
      <c r="G8" s="231">
        <f>VLOOKUP($B8,'미니게임_년도별 하이'!$A$13:$K$65,11,)</f>
        <v>138</v>
      </c>
      <c r="H8" s="232">
        <f>IFERROR(AVERAGEIFS(D8:G8,D8:G8,"&lt;&gt;#N/A",D8:G8,"&gt;0"),0)</f>
        <v>138</v>
      </c>
      <c r="I8" s="231">
        <f>VLOOKUP($B8,'미니게임_년도별 하이'!$A$13:$K$65,10,)</f>
        <v>182</v>
      </c>
      <c r="J8" s="232">
        <f t="shared" si="2"/>
        <v>0</v>
      </c>
      <c r="K8" s="158" t="str">
        <f t="shared" si="1"/>
        <v>안재혁</v>
      </c>
      <c r="L8" s="81">
        <f t="shared" si="3"/>
        <v>19</v>
      </c>
      <c r="M8" s="81" t="str">
        <f t="shared" si="4"/>
        <v>안재혁</v>
      </c>
      <c r="O8" s="41">
        <v>7</v>
      </c>
      <c r="P8" s="41" t="str">
        <f t="shared" si="5"/>
        <v>이수용</v>
      </c>
      <c r="Q8" s="332">
        <f t="shared" si="6"/>
        <v>160.14285714285714</v>
      </c>
    </row>
    <row r="9" spans="1:17">
      <c r="A9" s="151">
        <f>SUBTOTAL(103,$B$2:B9)*1</f>
        <v>8</v>
      </c>
      <c r="B9" s="148" t="s">
        <v>73</v>
      </c>
      <c r="C9" s="148" t="str">
        <f>VLOOKUP(B9,'미니게임_DATA(순)'!$A:$BW,MATCH("성별",'미니게임_DATA(순)'!$A$3:$BW$3,0),0)</f>
        <v>남</v>
      </c>
      <c r="D9" s="231">
        <v>150.30000000000001</v>
      </c>
      <c r="E9" s="231">
        <v>157.75</v>
      </c>
      <c r="F9" s="319">
        <v>159.08333333333334</v>
      </c>
      <c r="G9" s="231">
        <f>VLOOKUP($B9,'미니게임_년도별 하이'!$A$13:$K$65,11,)</f>
        <v>161</v>
      </c>
      <c r="H9" s="232">
        <f t="shared" ref="H9:H20" si="7">AVERAGEIFS(D9:G9,D9:G9,"&lt;&gt;#N/A",D9:G9,"&gt;0")</f>
        <v>157.03333333333333</v>
      </c>
      <c r="I9" s="231">
        <f>VLOOKUP($B9,'미니게임_년도별 하이'!$A$13:$K$65,10,)</f>
        <v>194</v>
      </c>
      <c r="J9" s="232">
        <f t="shared" si="2"/>
        <v>1.9166666666666572</v>
      </c>
      <c r="K9" s="158" t="str">
        <f t="shared" si="1"/>
        <v>전병기</v>
      </c>
      <c r="L9" s="81">
        <f t="shared" si="3"/>
        <v>5</v>
      </c>
      <c r="M9" s="81" t="str">
        <f t="shared" si="4"/>
        <v>전병기</v>
      </c>
      <c r="O9" s="41">
        <v>8</v>
      </c>
      <c r="P9" s="41" t="str">
        <f t="shared" si="5"/>
        <v>정동현</v>
      </c>
      <c r="Q9" s="332">
        <f t="shared" si="6"/>
        <v>159.83333333333334</v>
      </c>
    </row>
    <row r="10" spans="1:17">
      <c r="A10" s="151">
        <f>SUBTOTAL(103,$B$2:B10)*1</f>
        <v>9</v>
      </c>
      <c r="B10" s="149" t="s">
        <v>62</v>
      </c>
      <c r="C10" s="148" t="str">
        <f>VLOOKUP(B10,'미니게임_DATA(순)'!$A:$BW,MATCH("성별",'미니게임_DATA(순)'!$A$3:$BW$3,0),0)</f>
        <v>여</v>
      </c>
      <c r="D10" s="341" t="e">
        <v>#N/A</v>
      </c>
      <c r="E10" s="231">
        <v>143.14705882352942</v>
      </c>
      <c r="F10" s="319">
        <v>147.27272727272728</v>
      </c>
      <c r="G10" s="231">
        <f>VLOOKUP($B10,'미니게임_년도별 하이'!$A$13:$K$65,11,)</f>
        <v>153.63636363636363</v>
      </c>
      <c r="H10" s="232">
        <f t="shared" si="7"/>
        <v>148.01871657754012</v>
      </c>
      <c r="I10" s="231">
        <f>VLOOKUP($B10,'미니게임_년도별 하이'!$A$13:$K$65,10,)</f>
        <v>194</v>
      </c>
      <c r="J10" s="232">
        <f t="shared" si="2"/>
        <v>6.3636363636363455</v>
      </c>
      <c r="K10" s="158" t="str">
        <f t="shared" si="1"/>
        <v>성소라</v>
      </c>
      <c r="L10" s="81">
        <f t="shared" si="3"/>
        <v>14</v>
      </c>
      <c r="M10" s="81" t="str">
        <f t="shared" si="4"/>
        <v>성소라</v>
      </c>
      <c r="O10" s="41">
        <v>9</v>
      </c>
      <c r="P10" s="41" t="str">
        <f t="shared" si="5"/>
        <v>박용승</v>
      </c>
      <c r="Q10" s="332">
        <f t="shared" si="6"/>
        <v>159.62222222222223</v>
      </c>
    </row>
    <row r="11" spans="1:17">
      <c r="A11" s="151">
        <f>SUBTOTAL(103,$B$2:B11)*1</f>
        <v>10</v>
      </c>
      <c r="B11" s="148" t="s">
        <v>59</v>
      </c>
      <c r="C11" s="148" t="str">
        <f>VLOOKUP(B11,'미니게임_DATA(순)'!$A:$BW,MATCH("성별",'미니게임_DATA(순)'!$A$3:$BW$3,0),0)</f>
        <v>남</v>
      </c>
      <c r="D11" s="231">
        <v>168.9</v>
      </c>
      <c r="E11" s="231">
        <v>170.56666666666666</v>
      </c>
      <c r="F11" s="319">
        <v>157.97777777777779</v>
      </c>
      <c r="G11" s="231">
        <f>VLOOKUP($B11,'미니게임_년도별 하이'!$A$13:$K$65,11,)</f>
        <v>159.62222222222223</v>
      </c>
      <c r="H11" s="232">
        <f t="shared" si="7"/>
        <v>164.26666666666668</v>
      </c>
      <c r="I11" s="231">
        <f>VLOOKUP($B11,'미니게임_년도별 하이'!$A$13:$K$65,10,)</f>
        <v>215</v>
      </c>
      <c r="J11" s="232">
        <f t="shared" si="2"/>
        <v>1.6444444444444457</v>
      </c>
      <c r="K11" s="158" t="str">
        <f t="shared" si="1"/>
        <v>박용승</v>
      </c>
      <c r="L11" s="81">
        <f t="shared" si="3"/>
        <v>9</v>
      </c>
      <c r="M11" s="81" t="str">
        <f t="shared" si="4"/>
        <v>박용승</v>
      </c>
      <c r="O11" s="41">
        <v>10</v>
      </c>
      <c r="P11" s="41" t="str">
        <f t="shared" si="5"/>
        <v>이유재</v>
      </c>
      <c r="Q11" s="332">
        <f t="shared" si="6"/>
        <v>159.23809523809524</v>
      </c>
    </row>
    <row r="12" spans="1:17">
      <c r="A12" s="151">
        <f>SUBTOTAL(103,$B$2:B12)*1</f>
        <v>11</v>
      </c>
      <c r="B12" s="148" t="s">
        <v>247</v>
      </c>
      <c r="C12" s="148" t="str">
        <f>VLOOKUP(B12,'미니게임_DATA(순)'!$A:$BW,MATCH("성별",'미니게임_DATA(순)'!$A$3:$BW$3,0),0)</f>
        <v>남</v>
      </c>
      <c r="D12" s="341" t="e">
        <v>#N/A</v>
      </c>
      <c r="E12" s="341" t="e">
        <v>#N/A</v>
      </c>
      <c r="F12" s="319">
        <v>164.44444444444446</v>
      </c>
      <c r="G12" s="231">
        <f>VLOOKUP($B12,'미니게임_년도별 하이'!$A$13:$K$53,11,)</f>
        <v>159.23809523809524</v>
      </c>
      <c r="H12" s="232">
        <f t="shared" si="7"/>
        <v>161.84126984126985</v>
      </c>
      <c r="I12" s="231">
        <f>VLOOKUP($B12,'미니게임_년도별 하이'!$A$13:$K$53,10,)</f>
        <v>198</v>
      </c>
      <c r="J12" s="232">
        <f t="shared" si="2"/>
        <v>-5.2063492063492163</v>
      </c>
      <c r="K12" s="158" t="str">
        <f t="shared" si="1"/>
        <v>이유재</v>
      </c>
      <c r="L12" s="81">
        <f t="shared" si="3"/>
        <v>10</v>
      </c>
      <c r="M12" s="81" t="str">
        <f t="shared" si="4"/>
        <v>이유재</v>
      </c>
    </row>
    <row r="13" spans="1:17">
      <c r="A13" s="151">
        <f>SUBTOTAL(103,$B$2:B13)*1</f>
        <v>12</v>
      </c>
      <c r="B13" s="148" t="s">
        <v>50</v>
      </c>
      <c r="C13" s="148" t="str">
        <f>VLOOKUP(B13,'미니게임_DATA(순)'!$A:$BW,MATCH("성별",'미니게임_DATA(순)'!$A$3:$BW$3,0),0)</f>
        <v>남</v>
      </c>
      <c r="D13" s="231">
        <v>160.80000000000001</v>
      </c>
      <c r="E13" s="231">
        <v>159.5</v>
      </c>
      <c r="F13" s="319">
        <v>162</v>
      </c>
      <c r="G13" s="231">
        <f>VLOOKUP($B13,'미니게임_년도별 하이'!$A$13:$K$65,11,)</f>
        <v>157</v>
      </c>
      <c r="H13" s="232">
        <f t="shared" si="7"/>
        <v>159.82499999999999</v>
      </c>
      <c r="I13" s="231">
        <f>VLOOKUP($B13,'미니게임_년도별 하이'!$A$13:$K$65,10,)</f>
        <v>186</v>
      </c>
      <c r="J13" s="232">
        <f t="shared" si="2"/>
        <v>-5</v>
      </c>
      <c r="K13" s="158" t="str">
        <f t="shared" si="1"/>
        <v>김기선</v>
      </c>
      <c r="L13" s="81">
        <f t="shared" si="3"/>
        <v>13</v>
      </c>
      <c r="M13" s="81" t="str">
        <f t="shared" si="4"/>
        <v>김기선</v>
      </c>
    </row>
    <row r="14" spans="1:17">
      <c r="A14" s="151">
        <f>SUBTOTAL(103,$B$2:B14)*1</f>
        <v>13</v>
      </c>
      <c r="B14" s="148" t="s">
        <v>60</v>
      </c>
      <c r="C14" s="148" t="str">
        <f>VLOOKUP(B14,'미니게임_DATA(순)'!$A:$BW,MATCH("성별",'미니게임_DATA(순)'!$A$3:$BW$3,0),0)</f>
        <v>남</v>
      </c>
      <c r="D14" s="231">
        <v>147.4</v>
      </c>
      <c r="E14" s="231">
        <v>153.30555555555554</v>
      </c>
      <c r="F14" s="319">
        <v>170.56666666666666</v>
      </c>
      <c r="G14" s="231">
        <f>VLOOKUP($B14,'미니게임_년도별 하이'!$A$13:$K$53,11,)</f>
        <v>159.23809523809524</v>
      </c>
      <c r="H14" s="232">
        <f t="shared" si="7"/>
        <v>157.62757936507936</v>
      </c>
      <c r="I14" s="231">
        <f>VLOOKUP($B14,'미니게임_년도별 하이'!$A$13:$K$53,10,)</f>
        <v>247</v>
      </c>
      <c r="J14" s="232">
        <f t="shared" si="2"/>
        <v>-11.328571428571422</v>
      </c>
      <c r="K14" s="158" t="str">
        <f t="shared" si="1"/>
        <v>백동민</v>
      </c>
      <c r="L14" s="81">
        <f t="shared" si="3"/>
        <v>10</v>
      </c>
      <c r="M14" s="81" t="str">
        <f t="shared" si="4"/>
        <v>백동민</v>
      </c>
    </row>
    <row r="15" spans="1:17">
      <c r="A15" s="151">
        <f>SUBTOTAL(103,$B$2:B15)*1</f>
        <v>14</v>
      </c>
      <c r="B15" s="148" t="s">
        <v>79</v>
      </c>
      <c r="C15" s="148" t="str">
        <f>VLOOKUP(B15,'미니게임_DATA(순)'!$A:$BW,MATCH("성별",'미니게임_DATA(순)'!$A$3:$BW$3,0),0)</f>
        <v>남</v>
      </c>
      <c r="D15" s="341" t="e">
        <v>#N/A</v>
      </c>
      <c r="E15" s="231">
        <v>149.84210526315789</v>
      </c>
      <c r="F15" s="319">
        <v>157.03333333333333</v>
      </c>
      <c r="G15" s="231">
        <f>VLOOKUP($B15,'미니게임_년도별 하이'!$A$13:$K$65,11,)</f>
        <v>158.33333333333334</v>
      </c>
      <c r="H15" s="232">
        <f t="shared" si="7"/>
        <v>155.06959064327486</v>
      </c>
      <c r="I15" s="231">
        <f>VLOOKUP($B15,'미니게임_년도별 하이'!$A$13:$K$65,10,)</f>
        <v>213</v>
      </c>
      <c r="J15" s="232">
        <f t="shared" si="2"/>
        <v>1.3000000000000114</v>
      </c>
      <c r="K15" s="158" t="str">
        <f t="shared" si="1"/>
        <v>채승엽</v>
      </c>
      <c r="L15" s="81">
        <f t="shared" si="3"/>
        <v>12</v>
      </c>
      <c r="M15" s="81" t="str">
        <f t="shared" si="4"/>
        <v>채승엽</v>
      </c>
    </row>
    <row r="16" spans="1:17">
      <c r="A16" s="151">
        <f>SUBTOTAL(103,$B$2:B16)*1</f>
        <v>15</v>
      </c>
      <c r="B16" s="148" t="s">
        <v>54</v>
      </c>
      <c r="C16" s="148" t="str">
        <f>VLOOKUP(B16,'미니게임_DATA(순)'!$A:$BW,MATCH("성별",'미니게임_DATA(순)'!$A$3:$BW$3,0),0)</f>
        <v>남</v>
      </c>
      <c r="D16" s="231">
        <v>148</v>
      </c>
      <c r="E16" s="231">
        <v>157.47058823529412</v>
      </c>
      <c r="F16" s="319">
        <v>162.44444444444446</v>
      </c>
      <c r="G16" s="231">
        <f>VLOOKUP($B16,'미니게임_년도별 하이'!$A$13:$K$65,11,)</f>
        <v>152.71428571428572</v>
      </c>
      <c r="H16" s="232">
        <f t="shared" si="7"/>
        <v>155.15732959850607</v>
      </c>
      <c r="I16" s="231">
        <f>VLOOKUP($B16,'미니게임_년도별 하이'!$A$13:$K$65,10,)</f>
        <v>191</v>
      </c>
      <c r="J16" s="232">
        <f t="shared" si="2"/>
        <v>-9.7301587301587347</v>
      </c>
      <c r="K16" s="158" t="str">
        <f t="shared" si="1"/>
        <v>김신철</v>
      </c>
      <c r="L16" s="81">
        <f t="shared" si="3"/>
        <v>16</v>
      </c>
      <c r="M16" s="81" t="str">
        <f t="shared" si="4"/>
        <v>김신철</v>
      </c>
    </row>
    <row r="17" spans="1:13">
      <c r="A17" s="151">
        <f>SUBTOTAL(103,$B$2:B17)*1</f>
        <v>16</v>
      </c>
      <c r="B17" s="41" t="s">
        <v>301</v>
      </c>
      <c r="C17" s="148" t="str">
        <f>VLOOKUP(B17,'미니게임_DATA(순)'!$A:$BW,MATCH("성별",'미니게임_DATA(순)'!$A$3:$BW$3,0),0)</f>
        <v>여</v>
      </c>
      <c r="D17" s="341" t="e">
        <v>#N/A</v>
      </c>
      <c r="E17" s="341" t="e">
        <v>#N/A</v>
      </c>
      <c r="F17" s="319">
        <v>144.11111111111111</v>
      </c>
      <c r="G17" s="231">
        <f>VLOOKUP($B17,'미니게임_년도별 하이'!$A$13:$K$65,11,)</f>
        <v>160.33333333333334</v>
      </c>
      <c r="H17" s="232">
        <f t="shared" si="7"/>
        <v>152.22222222222223</v>
      </c>
      <c r="I17" s="231">
        <f>VLOOKUP($B17,'미니게임_년도별 하이'!$A$13:$K$65,10,)</f>
        <v>208</v>
      </c>
      <c r="J17" s="232">
        <f t="shared" si="2"/>
        <v>16.222222222222229</v>
      </c>
      <c r="K17" s="158" t="str">
        <f t="shared" si="1"/>
        <v>손하은</v>
      </c>
      <c r="L17" s="81">
        <f t="shared" si="3"/>
        <v>6</v>
      </c>
      <c r="M17" s="81" t="str">
        <f t="shared" si="4"/>
        <v>손하은</v>
      </c>
    </row>
    <row r="18" spans="1:13">
      <c r="A18" s="151">
        <f>SUBTOTAL(103,$B$2:B18)*1</f>
        <v>17</v>
      </c>
      <c r="B18" s="148" t="s">
        <v>82</v>
      </c>
      <c r="C18" s="148" t="str">
        <f>VLOOKUP(B18,'미니게임_DATA(순)'!$A:$BW,MATCH("성별",'미니게임_DATA(순)'!$A$3:$BW$3,0),0)</f>
        <v>남</v>
      </c>
      <c r="D18" s="231">
        <v>121.25</v>
      </c>
      <c r="E18" s="231">
        <v>157.67857142857142</v>
      </c>
      <c r="F18" s="319">
        <v>153.33333333333334</v>
      </c>
      <c r="G18" s="231">
        <f>VLOOKUP($B18,'미니게임_년도별 하이'!$A$13:$K$65,11,)</f>
        <v>149.22222222222223</v>
      </c>
      <c r="H18" s="232">
        <f t="shared" si="7"/>
        <v>145.37103174603175</v>
      </c>
      <c r="I18" s="231">
        <f>VLOOKUP($B18,'미니게임_년도별 하이'!$A$13:$K$65,10,)</f>
        <v>185</v>
      </c>
      <c r="J18" s="232">
        <f t="shared" si="2"/>
        <v>-4.1111111111111143</v>
      </c>
      <c r="K18" s="158" t="str">
        <f t="shared" si="1"/>
        <v>한희용</v>
      </c>
      <c r="L18" s="81">
        <f t="shared" si="3"/>
        <v>17</v>
      </c>
      <c r="M18" s="81" t="str">
        <f t="shared" si="4"/>
        <v>한희용</v>
      </c>
    </row>
    <row r="19" spans="1:13">
      <c r="A19" s="151">
        <f>SUBTOTAL(103,$B$2:B19)*1</f>
        <v>18</v>
      </c>
      <c r="B19" s="41" t="s">
        <v>300</v>
      </c>
      <c r="C19" s="148" t="str">
        <f>VLOOKUP(B19,'미니게임_DATA(순)'!$A:$BW,MATCH("성별",'미니게임_DATA(순)'!$A$3:$BW$3,0),0)</f>
        <v>여</v>
      </c>
      <c r="D19" s="341" t="e">
        <v>#N/A</v>
      </c>
      <c r="E19" s="341" t="e">
        <v>#N/A</v>
      </c>
      <c r="F19" s="319">
        <v>137.06666666666666</v>
      </c>
      <c r="G19" s="231">
        <f>VLOOKUP($B19,'미니게임_년도별 하이'!$A$13:$K$65,11,)</f>
        <v>152.72727272727272</v>
      </c>
      <c r="H19" s="232">
        <f t="shared" si="7"/>
        <v>144.89696969696968</v>
      </c>
      <c r="I19" s="231">
        <f>VLOOKUP($B19,'미니게임_년도별 하이'!$A$13:$K$65,10,)</f>
        <v>213</v>
      </c>
      <c r="J19" s="232">
        <f t="shared" si="2"/>
        <v>15.660606060606057</v>
      </c>
      <c r="K19" s="158" t="str">
        <f t="shared" si="1"/>
        <v>오수인</v>
      </c>
      <c r="L19" s="81">
        <f t="shared" si="3"/>
        <v>15</v>
      </c>
      <c r="M19" s="81" t="str">
        <f t="shared" si="4"/>
        <v>오수인</v>
      </c>
    </row>
    <row r="20" spans="1:13">
      <c r="A20" s="151">
        <f>SUBTOTAL(103,$B$2:B20)*1</f>
        <v>19</v>
      </c>
      <c r="B20" s="148" t="s">
        <v>66</v>
      </c>
      <c r="C20" s="148" t="str">
        <f>VLOOKUP(B20,'미니게임_DATA(순)'!$A:$BW,MATCH("성별",'미니게임_DATA(순)'!$A$3:$BW$3,0),0)</f>
        <v>남</v>
      </c>
      <c r="D20" s="231">
        <v>156.15384615384616</v>
      </c>
      <c r="E20" s="231">
        <v>161.96153846153845</v>
      </c>
      <c r="F20" s="319">
        <v>148.66666666666666</v>
      </c>
      <c r="G20" s="231">
        <f>VLOOKUP($B20,'미니게임_년도별 하이'!$A$13:$K$65,11,)</f>
        <v>143.16666666666666</v>
      </c>
      <c r="H20" s="232">
        <f t="shared" si="7"/>
        <v>152.48717948717947</v>
      </c>
      <c r="I20" s="231">
        <f>VLOOKUP($B20,'미니게임_년도별 하이'!$A$13:$K$65,10,)</f>
        <v>176</v>
      </c>
      <c r="J20" s="232">
        <f t="shared" si="2"/>
        <v>-5.5</v>
      </c>
      <c r="K20" s="158" t="str">
        <f t="shared" si="1"/>
        <v>이강은</v>
      </c>
      <c r="L20" s="81">
        <f t="shared" si="3"/>
        <v>18</v>
      </c>
      <c r="M20" s="81" t="str">
        <f t="shared" si="4"/>
        <v>이강은</v>
      </c>
    </row>
    <row r="21" spans="1:13">
      <c r="A21" s="151">
        <f>SUBTOTAL(103,$B$2:B21)*1</f>
        <v>20</v>
      </c>
      <c r="B21" s="41" t="s">
        <v>456</v>
      </c>
      <c r="C21" s="148" t="str">
        <f>VLOOKUP(B21,'미니게임_DATA(순)'!$A:$BW,MATCH("성별",'미니게임_DATA(순)'!$A$3:$BW$3,0),0)</f>
        <v>남</v>
      </c>
      <c r="D21" s="341" t="e">
        <v>#N/A</v>
      </c>
      <c r="E21" s="41"/>
      <c r="F21" s="41"/>
      <c r="G21" s="231">
        <f>VLOOKUP($B21,'미니게임_년도별 하이'!$A$13:$K$65,11,)</f>
        <v>130.03703703703704</v>
      </c>
      <c r="H21" s="232">
        <f>IFERROR(AVERAGEIFS(D21:G21,D21:G21,"&lt;&gt;#N/A",D21:G21,"&gt;0"),0)</f>
        <v>130.03703703703704</v>
      </c>
      <c r="I21" s="231">
        <f>VLOOKUP($B21,'미니게임_년도별 하이'!$A$13:$K$65,10,)</f>
        <v>179</v>
      </c>
      <c r="J21" s="232">
        <f t="shared" si="2"/>
        <v>0</v>
      </c>
      <c r="K21" s="158" t="str">
        <f t="shared" si="1"/>
        <v>권진현</v>
      </c>
      <c r="L21" s="81">
        <f t="shared" si="3"/>
        <v>21</v>
      </c>
      <c r="M21" s="81" t="str">
        <f t="shared" si="4"/>
        <v>권진현</v>
      </c>
    </row>
    <row r="22" spans="1:13">
      <c r="A22" s="151">
        <f>SUBTOTAL(103,$B$2:B22)*1</f>
        <v>21</v>
      </c>
      <c r="B22" s="41" t="s">
        <v>453</v>
      </c>
      <c r="C22" s="148" t="str">
        <f>VLOOKUP(B22,'미니게임_DATA(순)'!$A:$BW,MATCH("성별",'미니게임_DATA(순)'!$A$3:$BW$3,0),0)</f>
        <v>남</v>
      </c>
      <c r="D22" s="341" t="e">
        <v>#N/A</v>
      </c>
      <c r="E22" s="41"/>
      <c r="F22" s="41"/>
      <c r="G22" s="231">
        <f>VLOOKUP($B22,'미니게임_년도별 하이'!$A$13:$K$65,11,)</f>
        <v>136.54166666666666</v>
      </c>
      <c r="H22" s="232">
        <f>IFERROR(AVERAGEIFS(D22:G22,D22:G22,"&lt;&gt;#N/A",D22:G22,"&gt;0"),0)</f>
        <v>136.54166666666666</v>
      </c>
      <c r="I22" s="231">
        <f>VLOOKUP($B22,'미니게임_년도별 하이'!$A$13:$K$65,10,)</f>
        <v>182</v>
      </c>
      <c r="J22" s="232">
        <f t="shared" si="2"/>
        <v>0</v>
      </c>
      <c r="K22" s="158" t="str">
        <f t="shared" si="1"/>
        <v>남준석</v>
      </c>
      <c r="L22" s="81">
        <f t="shared" si="3"/>
        <v>20</v>
      </c>
      <c r="M22" s="81" t="str">
        <f t="shared" si="4"/>
        <v>남준석</v>
      </c>
    </row>
    <row r="23" spans="1:13">
      <c r="A23" s="151">
        <f>SUBTOTAL(103,$B$2:B23)*1</f>
        <v>22</v>
      </c>
      <c r="B23" s="41" t="s">
        <v>457</v>
      </c>
      <c r="C23" s="148" t="str">
        <f>VLOOKUP(B23,'미니게임_DATA(순)'!$A:$BW,MATCH("성별",'미니게임_DATA(순)'!$A$3:$BW$3,0),0)</f>
        <v>남</v>
      </c>
      <c r="D23" s="341" t="e">
        <v>#N/A</v>
      </c>
      <c r="E23" s="41"/>
      <c r="F23" s="41"/>
      <c r="G23" s="231">
        <f>VLOOKUP($B23,'미니게임_년도별 하이'!$A$13:$K$65,11,)</f>
        <v>122.75</v>
      </c>
      <c r="H23" s="232">
        <f>IFERROR(AVERAGEIFS(D23:G23,D23:G23,"&lt;&gt;#N/A",D23:G23,"&gt;0"),0)</f>
        <v>122.75</v>
      </c>
      <c r="I23" s="231">
        <f>VLOOKUP($B23,'미니게임_년도별 하이'!$A$13:$K$65,10,)</f>
        <v>172</v>
      </c>
      <c r="J23" s="232">
        <f t="shared" si="2"/>
        <v>0</v>
      </c>
      <c r="K23" s="158" t="str">
        <f t="shared" si="1"/>
        <v>이종현</v>
      </c>
      <c r="L23" s="81">
        <f t="shared" si="3"/>
        <v>22</v>
      </c>
      <c r="M23" s="81" t="str">
        <f t="shared" si="4"/>
        <v>이종현</v>
      </c>
    </row>
    <row r="24" spans="1:13">
      <c r="A24" s="151">
        <f>SUBTOTAL(103,$B$2:B24)*1</f>
        <v>23</v>
      </c>
      <c r="B24" s="148" t="s">
        <v>69</v>
      </c>
      <c r="C24" s="148" t="str">
        <f>VLOOKUP(B24,'미니게임_DATA(순)'!$A:$BW,MATCH("성별",'미니게임_DATA(순)'!$A$3:$BW$3,0),0)</f>
        <v>남</v>
      </c>
      <c r="D24" s="231">
        <v>150.5</v>
      </c>
      <c r="E24" s="231">
        <v>150.22222222222223</v>
      </c>
      <c r="F24" s="319">
        <v>155.66666666666666</v>
      </c>
      <c r="G24" s="231">
        <f>VLOOKUP($B24,'미니게임_년도별 하이'!$A$13:$K$65,11,)</f>
        <v>122</v>
      </c>
      <c r="H24" s="232">
        <f>AVERAGEIFS(D24:G24,D24:G24,"&lt;&gt;#N/A",D24:G24,"&gt;0")</f>
        <v>144.59722222222223</v>
      </c>
      <c r="I24" s="231">
        <f>VLOOKUP($B24,'미니게임_년도별 하이'!$A$13:$K$65,10,)</f>
        <v>134</v>
      </c>
      <c r="J24" s="232">
        <f t="shared" si="2"/>
        <v>-33.666666666666657</v>
      </c>
      <c r="K24" s="158" t="str">
        <f t="shared" si="1"/>
        <v>이정호</v>
      </c>
      <c r="L24" s="81">
        <f t="shared" si="3"/>
        <v>23</v>
      </c>
      <c r="M24" s="81" t="str">
        <f t="shared" si="4"/>
        <v>이정호</v>
      </c>
    </row>
    <row r="25" spans="1:13">
      <c r="A25" s="151">
        <f>SUBTOTAL(103,$B$2:B25)*1</f>
        <v>24</v>
      </c>
      <c r="B25" s="41" t="s">
        <v>336</v>
      </c>
      <c r="C25" s="148" t="str">
        <f>VLOOKUP(B25,'미니게임_DATA(순)'!$A:$BW,MATCH("성별",'미니게임_DATA(순)'!$A$3:$BW$3,0),0)</f>
        <v>남</v>
      </c>
      <c r="D25" s="341" t="e">
        <v>#N/A</v>
      </c>
      <c r="E25" s="341" t="e">
        <v>#N/A</v>
      </c>
      <c r="F25" s="341" t="e">
        <v>#N/A</v>
      </c>
      <c r="G25" s="231">
        <f>VLOOKUP($B25,'미니게임_년도별 하이'!$A$13:$K$65,11,)</f>
        <v>120.66666666666667</v>
      </c>
      <c r="H25" s="232">
        <f>AVERAGEIFS(D25:G25,D25:G25,"&lt;&gt;#N/A",D25:G25,"&gt;0")</f>
        <v>120.66666666666667</v>
      </c>
      <c r="I25" s="231">
        <f>VLOOKUP($B25,'미니게임_년도별 하이'!$A$13:$K$65,10,)</f>
        <v>157</v>
      </c>
      <c r="J25" s="232">
        <f t="shared" si="2"/>
        <v>0</v>
      </c>
      <c r="K25" s="158" t="str">
        <f t="shared" si="1"/>
        <v>이해신</v>
      </c>
      <c r="L25" s="81">
        <f t="shared" si="3"/>
        <v>24</v>
      </c>
      <c r="M25" s="81" t="str">
        <f t="shared" si="4"/>
        <v>이해신</v>
      </c>
    </row>
    <row r="26" spans="1:13">
      <c r="A26" s="151">
        <f>SUBTOTAL(103,$B$2:B26)*1</f>
        <v>25</v>
      </c>
      <c r="B26" s="148" t="s">
        <v>458</v>
      </c>
      <c r="C26" s="148" t="str">
        <f>VLOOKUP(B26,'미니게임_DATA(순)'!$A:$BW,MATCH("성별",'미니게임_DATA(순)'!$A$3:$BW$3,0),0)</f>
        <v>남</v>
      </c>
      <c r="D26" s="341" t="e">
        <v>#N/A</v>
      </c>
      <c r="E26" s="231"/>
      <c r="F26" s="231"/>
      <c r="G26" s="231">
        <f>VLOOKUP($B26,'미니게임_년도별 하이'!$A$13:$K$65,11,)</f>
        <v>118.55555555555556</v>
      </c>
      <c r="H26" s="232">
        <f>IFERROR(AVERAGEIFS(D26:G26,D26:G26,"&lt;&gt;#N/A",D26:G26,"&gt;0"),0)</f>
        <v>118.55555555555556</v>
      </c>
      <c r="I26" s="231">
        <f>VLOOKUP($B26,'미니게임_년도별 하이'!$A$13:$K$65,10,)</f>
        <v>162</v>
      </c>
      <c r="J26" s="232">
        <f t="shared" si="2"/>
        <v>0</v>
      </c>
      <c r="K26" s="158" t="str">
        <f t="shared" si="1"/>
        <v>심재국</v>
      </c>
      <c r="L26" s="81">
        <f t="shared" si="3"/>
        <v>25</v>
      </c>
      <c r="M26" s="81" t="str">
        <f t="shared" si="4"/>
        <v>심재국</v>
      </c>
    </row>
    <row r="27" spans="1:13">
      <c r="A27" s="151">
        <f>SUBTOTAL(103,$B$2:B27)*1</f>
        <v>26</v>
      </c>
      <c r="B27" s="148" t="s">
        <v>455</v>
      </c>
      <c r="C27" s="148" t="str">
        <f>VLOOKUP(B27,'미니게임_DATA(순)'!$A:$BW,MATCH("성별",'미니게임_DATA(순)'!$A$3:$BW$3,0),0)</f>
        <v>남</v>
      </c>
      <c r="D27" s="341" t="e">
        <v>#N/A</v>
      </c>
      <c r="E27" s="341" t="e">
        <v>#N/A</v>
      </c>
      <c r="F27" s="341" t="e">
        <v>#N/A</v>
      </c>
      <c r="G27" s="231">
        <f>VLOOKUP($B27,'미니게임_년도별 하이'!$A$13:$K$65,11,)</f>
        <v>96.571428571428569</v>
      </c>
      <c r="H27" s="232">
        <f>IFERROR(AVERAGEIFS(D27:G27,D27:G27,"&lt;&gt;#N/A",D27:G27,"&gt;0"),0)</f>
        <v>96.571428571428569</v>
      </c>
      <c r="I27" s="231">
        <f>VLOOKUP($B27,'미니게임_년도별 하이'!$A$13:$K$65,10,)</f>
        <v>136</v>
      </c>
      <c r="J27" s="232">
        <f t="shared" si="2"/>
        <v>0</v>
      </c>
      <c r="K27" s="158" t="str">
        <f t="shared" si="1"/>
        <v>이경준</v>
      </c>
      <c r="L27" s="81">
        <f t="shared" si="3"/>
        <v>26</v>
      </c>
      <c r="M27" s="81" t="str">
        <f t="shared" si="4"/>
        <v>이경준</v>
      </c>
    </row>
    <row r="28" spans="1:13">
      <c r="A28" s="151">
        <f>SUBTOTAL(103,$B$2:B28)*1</f>
        <v>27</v>
      </c>
      <c r="B28" s="148" t="s">
        <v>58</v>
      </c>
      <c r="C28" s="148" t="str">
        <f>VLOOKUP(B28,'미니게임_DATA(순)'!$A:$BW,MATCH("성별",'미니게임_DATA(순)'!$A$3:$BW$3,0),0)</f>
        <v>남</v>
      </c>
      <c r="D28" s="231">
        <v>161.6</v>
      </c>
      <c r="E28" s="231">
        <v>159.7741935483871</v>
      </c>
      <c r="F28" s="319">
        <v>166.66666666666666</v>
      </c>
      <c r="G28" s="231">
        <f>VLOOKUP($B28,'미니게임_년도별 하이'!$A$13:$K$65,11,)</f>
        <v>0</v>
      </c>
      <c r="H28" s="232">
        <f t="shared" ref="H28:H34" si="8">AVERAGEIFS(D28:G28,D28:G28,"&lt;&gt;#N/A",D28:G28,"&gt;0")</f>
        <v>162.68028673835124</v>
      </c>
      <c r="I28" s="231">
        <f>VLOOKUP($B28,'미니게임_년도별 하이'!$A$13:$K$65,10,)</f>
        <v>0</v>
      </c>
      <c r="J28" s="232">
        <f t="shared" si="2"/>
        <v>0</v>
      </c>
      <c r="K28" s="158" t="str">
        <f t="shared" si="1"/>
        <v>김창현</v>
      </c>
      <c r="L28" s="81">
        <f t="shared" si="3"/>
        <v>27</v>
      </c>
      <c r="M28" s="81" t="str">
        <f t="shared" si="4"/>
        <v>김창현</v>
      </c>
    </row>
    <row r="29" spans="1:13">
      <c r="A29" s="151">
        <f>SUBTOTAL(103,$B$2:B29)*1</f>
        <v>28</v>
      </c>
      <c r="B29" s="148" t="s">
        <v>56</v>
      </c>
      <c r="C29" s="148" t="str">
        <f>VLOOKUP(B29,'미니게임_DATA(순)'!$A:$BW,MATCH("성별",'미니게임_DATA(순)'!$A$3:$BW$3,0),0)</f>
        <v>여</v>
      </c>
      <c r="D29" s="341" t="e">
        <v>#N/A</v>
      </c>
      <c r="E29" s="231">
        <v>162.35294117647058</v>
      </c>
      <c r="F29" s="319">
        <v>140.33333333333334</v>
      </c>
      <c r="G29" s="231">
        <f>VLOOKUP($B29,'미니게임_년도별 하이'!$A$13:$K$65,11,)</f>
        <v>0</v>
      </c>
      <c r="H29" s="232">
        <f t="shared" si="8"/>
        <v>151.34313725490196</v>
      </c>
      <c r="I29" s="231">
        <f>VLOOKUP($B29,'미니게임_년도별 하이'!$A$13:$K$65,10,)</f>
        <v>0</v>
      </c>
      <c r="J29" s="232">
        <f t="shared" si="2"/>
        <v>0</v>
      </c>
      <c r="K29" s="158" t="str">
        <f t="shared" si="1"/>
        <v>김예지</v>
      </c>
      <c r="L29" s="81">
        <f t="shared" si="3"/>
        <v>27</v>
      </c>
      <c r="M29" s="81" t="str">
        <f t="shared" si="4"/>
        <v>김예지</v>
      </c>
    </row>
    <row r="30" spans="1:13">
      <c r="A30" s="151">
        <f>SUBTOTAL(103,$B$2:B30)*1</f>
        <v>29</v>
      </c>
      <c r="B30" s="148" t="s">
        <v>72</v>
      </c>
      <c r="C30" s="148" t="str">
        <f>VLOOKUP(B30,'미니게임_DATA(순)'!$A:$BW,MATCH("성별",'미니게임_DATA(순)'!$A$3:$BW$3,0),0)</f>
        <v>남</v>
      </c>
      <c r="D30" s="341" t="e">
        <v>#N/A</v>
      </c>
      <c r="E30" s="231">
        <v>157.125</v>
      </c>
      <c r="F30" s="319">
        <v>144.5</v>
      </c>
      <c r="G30" s="231">
        <f>VLOOKUP($B30,'미니게임_년도별 하이'!$A$13:$K$65,11,)</f>
        <v>0</v>
      </c>
      <c r="H30" s="232">
        <f t="shared" si="8"/>
        <v>150.8125</v>
      </c>
      <c r="I30" s="231">
        <f>VLOOKUP($B30,'미니게임_년도별 하이'!$A$13:$K$65,10,)</f>
        <v>0</v>
      </c>
      <c r="J30" s="232">
        <f t="shared" si="2"/>
        <v>0</v>
      </c>
      <c r="K30" s="158" t="str">
        <f t="shared" si="1"/>
        <v>임무성</v>
      </c>
      <c r="M30" s="81" t="str">
        <f t="shared" si="4"/>
        <v>임무성</v>
      </c>
    </row>
    <row r="31" spans="1:13">
      <c r="A31" s="151">
        <f>SUBTOTAL(103,$B$2:B31)*1</f>
        <v>30</v>
      </c>
      <c r="B31" s="148" t="s">
        <v>77</v>
      </c>
      <c r="C31" s="148" t="str">
        <f>VLOOKUP(B31,'미니게임_DATA(순)'!$A:$BW,MATCH("성별",'미니게임_DATA(순)'!$A$3:$BW$3,0),0)</f>
        <v>여</v>
      </c>
      <c r="D31" s="231">
        <v>129</v>
      </c>
      <c r="E31" s="231">
        <v>138.05882352941177</v>
      </c>
      <c r="F31" s="319">
        <v>136.25</v>
      </c>
      <c r="G31" s="231">
        <f>VLOOKUP($B31,'미니게임_년도별 하이'!$A$13:$K$65,11,)</f>
        <v>0</v>
      </c>
      <c r="H31" s="232">
        <f t="shared" si="8"/>
        <v>134.43627450980392</v>
      </c>
      <c r="I31" s="231">
        <f>VLOOKUP($B31,'미니게임_년도별 하이'!$A$13:$K$65,10,)</f>
        <v>0</v>
      </c>
      <c r="J31" s="232">
        <f t="shared" si="2"/>
        <v>0</v>
      </c>
      <c r="K31" s="158" t="str">
        <f t="shared" si="1"/>
        <v>조연희</v>
      </c>
      <c r="M31" s="81" t="str">
        <f t="shared" si="4"/>
        <v>조연희</v>
      </c>
    </row>
    <row r="32" spans="1:13">
      <c r="A32" s="151">
        <f>SUBTOTAL(103,$B$2:B32)*1</f>
        <v>31</v>
      </c>
      <c r="B32" s="148" t="s">
        <v>55</v>
      </c>
      <c r="C32" s="148" t="str">
        <f>VLOOKUP(B32,'미니게임_DATA(순)'!$A:$BW,MATCH("성별",'미니게임_DATA(순)'!$A$3:$BW$3,0),0)</f>
        <v>남</v>
      </c>
      <c r="D32" s="341" t="e">
        <v>#N/A</v>
      </c>
      <c r="E32" s="231">
        <v>102.33333333333333</v>
      </c>
      <c r="F32" s="341" t="e">
        <v>#N/A</v>
      </c>
      <c r="G32" s="231">
        <f>VLOOKUP($B32,'미니게임_년도별 하이'!$A$13:$K$65,11,)</f>
        <v>0</v>
      </c>
      <c r="H32" s="232">
        <f t="shared" si="8"/>
        <v>102.33333333333333</v>
      </c>
      <c r="I32" s="231">
        <f>VLOOKUP($B32,'미니게임_년도별 하이'!$A$13:$K$65,10,)</f>
        <v>0</v>
      </c>
      <c r="J32" s="232">
        <f t="shared" si="2"/>
        <v>0</v>
      </c>
      <c r="K32" s="158" t="str">
        <f t="shared" si="1"/>
        <v>김영민</v>
      </c>
      <c r="M32" s="81" t="str">
        <f t="shared" si="4"/>
        <v>김영민</v>
      </c>
    </row>
    <row r="33" spans="1:13">
      <c r="A33" s="151">
        <f>SUBTOTAL(103,$B$2:B33)*1</f>
        <v>32</v>
      </c>
      <c r="B33" s="88" t="s">
        <v>237</v>
      </c>
      <c r="C33" s="148" t="str">
        <f>VLOOKUP(B33,'미니게임_DATA(순)'!$A:$BW,MATCH("성별",'미니게임_DATA(순)'!$A$3:$BW$3,0),0)</f>
        <v>여</v>
      </c>
      <c r="D33" s="341" t="e">
        <v>#N/A</v>
      </c>
      <c r="E33" s="41">
        <v>102.3</v>
      </c>
      <c r="F33" s="341" t="e">
        <v>#N/A</v>
      </c>
      <c r="G33" s="231">
        <f>VLOOKUP($B33,'미니게임_년도별 하이'!$A$13:$K$65,11,)</f>
        <v>0</v>
      </c>
      <c r="H33" s="232">
        <f t="shared" si="8"/>
        <v>102.3</v>
      </c>
      <c r="I33" s="231">
        <f>VLOOKUP($B33,'미니게임_년도별 하이'!$A$13:$K$65,10,)</f>
        <v>0</v>
      </c>
      <c r="J33" s="232">
        <f t="shared" si="2"/>
        <v>0</v>
      </c>
      <c r="K33" s="158" t="str">
        <f t="shared" si="1"/>
        <v>김민지</v>
      </c>
      <c r="M33" s="81" t="str">
        <f t="shared" si="4"/>
        <v>김민지</v>
      </c>
    </row>
    <row r="34" spans="1:13">
      <c r="A34" s="151">
        <f>SUBTOTAL(103,$B$2:B34)*1</f>
        <v>33</v>
      </c>
      <c r="B34" s="72" t="s">
        <v>57</v>
      </c>
      <c r="C34" s="148" t="str">
        <f>VLOOKUP(B34,'미니게임_DATA(순)'!$A:$BW,MATCH("성별",'미니게임_DATA(순)'!$A$3:$BW$3,0),0)</f>
        <v>여</v>
      </c>
      <c r="D34" s="341" t="e">
        <v>#N/A</v>
      </c>
      <c r="E34" s="231">
        <v>93</v>
      </c>
      <c r="F34" s="319">
        <v>107.73333333333333</v>
      </c>
      <c r="G34" s="231">
        <f>VLOOKUP($B34,'미니게임_년도별 하이'!$A$13:$K$65,11,)</f>
        <v>0</v>
      </c>
      <c r="H34" s="232">
        <f t="shared" si="8"/>
        <v>100.36666666666667</v>
      </c>
      <c r="I34" s="231">
        <f>VLOOKUP($B34,'미니게임_년도별 하이'!$A$13:$K$65,10,)</f>
        <v>0</v>
      </c>
      <c r="J34" s="232">
        <f t="shared" si="2"/>
        <v>0</v>
      </c>
      <c r="K34" s="158" t="str">
        <f t="shared" si="1"/>
        <v>김주현</v>
      </c>
      <c r="M34" s="81" t="str">
        <f t="shared" si="4"/>
        <v>김주현</v>
      </c>
    </row>
    <row r="35" spans="1:13">
      <c r="A35" s="151">
        <f>SUBTOTAL(103,$B$2:B35)*1</f>
        <v>34</v>
      </c>
      <c r="B35" s="148" t="s">
        <v>452</v>
      </c>
      <c r="C35" s="148" t="str">
        <f>VLOOKUP(B35,'미니게임_DATA(순)'!$A:$BW,MATCH("성별",'미니게임_DATA(순)'!$A$3:$BW$3,0),0)</f>
        <v>남</v>
      </c>
      <c r="D35" s="341" t="e">
        <v>#N/A</v>
      </c>
      <c r="E35" s="231"/>
      <c r="F35" s="231"/>
      <c r="G35" s="231">
        <f>VLOOKUP($B35,'미니게임_년도별 하이'!$A$13:$K$65,11,)</f>
        <v>0</v>
      </c>
      <c r="H35" s="232">
        <f>IFERROR(AVERAGEIFS(D35:G35,D35:G35,"&lt;&gt;#N/A",D35:G35,"&gt;0"),0)</f>
        <v>0</v>
      </c>
      <c r="I35" s="231">
        <f>VLOOKUP($B35,'미니게임_년도별 하이'!$A$13:$K$65,10,)</f>
        <v>0</v>
      </c>
      <c r="J35" s="232">
        <f t="shared" si="2"/>
        <v>0</v>
      </c>
      <c r="K35" s="158" t="str">
        <f t="shared" si="1"/>
        <v>권효상</v>
      </c>
      <c r="M35" s="81" t="str">
        <f t="shared" si="4"/>
        <v>권효상</v>
      </c>
    </row>
    <row r="36" spans="1:13">
      <c r="A36" s="151"/>
      <c r="B36" s="148"/>
      <c r="C36" s="148"/>
      <c r="D36" s="231"/>
      <c r="E36" s="231"/>
      <c r="F36" s="341"/>
      <c r="G36" s="231"/>
      <c r="H36" s="232"/>
      <c r="I36" s="231"/>
      <c r="J36" s="232"/>
      <c r="K36" s="158">
        <f t="shared" si="1"/>
        <v>0</v>
      </c>
      <c r="M36" s="81">
        <f t="shared" si="4"/>
        <v>0</v>
      </c>
    </row>
    <row r="37" spans="1:13">
      <c r="A37" s="41"/>
      <c r="B37" s="41"/>
      <c r="C37" s="41"/>
      <c r="D37" s="41"/>
      <c r="E37" s="41"/>
      <c r="F37" s="41"/>
      <c r="G37" s="41"/>
      <c r="H37" s="41"/>
      <c r="I37" s="41"/>
      <c r="J37" s="41"/>
    </row>
    <row r="38" spans="1:13">
      <c r="A38" s="41"/>
      <c r="B38" s="88"/>
      <c r="C38" s="88"/>
      <c r="D38" s="41"/>
      <c r="E38" s="41"/>
      <c r="F38" s="41"/>
      <c r="G38" s="41"/>
      <c r="H38" s="41"/>
      <c r="I38" s="41"/>
      <c r="J38" s="41"/>
    </row>
    <row r="39" spans="1:13">
      <c r="A39" s="41"/>
      <c r="B39" s="41"/>
      <c r="C39" s="41"/>
      <c r="D39" s="41"/>
      <c r="E39" s="41"/>
      <c r="F39" s="41"/>
      <c r="G39" s="41"/>
      <c r="H39" s="41"/>
      <c r="I39" s="41"/>
      <c r="J39" s="41"/>
    </row>
    <row r="40" spans="1:13">
      <c r="A40" s="41"/>
      <c r="B40" s="41"/>
      <c r="C40" s="41"/>
      <c r="D40" s="41"/>
      <c r="E40" s="41"/>
      <c r="F40" s="41"/>
      <c r="G40" s="41"/>
      <c r="H40" s="41"/>
      <c r="I40" s="41"/>
      <c r="J40" s="41"/>
    </row>
  </sheetData>
  <autoFilter ref="A1:K37">
    <sortState ref="A2:K37">
      <sortCondition descending="1" ref="G1:G37"/>
    </sortState>
  </autoFilter>
  <phoneticPr fontId="2" type="noConversion"/>
  <conditionalFormatting sqref="B31 E34:F34 B1:C2 B3:B23 C3:C28 D6:E25 B29:E29 E30:F31 C30:D36 G2:G36">
    <cfRule type="expression" dxfId="470" priority="31">
      <formula>"&gt;=200"</formula>
    </cfRule>
  </conditionalFormatting>
  <conditionalFormatting sqref="D25">
    <cfRule type="expression" dxfId="469" priority="23">
      <formula>"&gt;=200"</formula>
    </cfRule>
  </conditionalFormatting>
  <conditionalFormatting sqref="A1">
    <cfRule type="expression" dxfId="468" priority="30">
      <formula>"&gt;=200"</formula>
    </cfRule>
  </conditionalFormatting>
  <conditionalFormatting sqref="E2:E5 H1:H36">
    <cfRule type="expression" dxfId="467" priority="29">
      <formula>"&gt;=200"</formula>
    </cfRule>
  </conditionalFormatting>
  <conditionalFormatting sqref="E2:E5 E34:F34 D6:E25 E30:F31 D29:E29 D30:D36 G2:G36">
    <cfRule type="cellIs" dxfId="466" priority="27" operator="greaterThanOrEqual">
      <formula>200</formula>
    </cfRule>
    <cfRule type="expression" dxfId="465" priority="28">
      <formula>"&gt;=200"</formula>
    </cfRule>
  </conditionalFormatting>
  <conditionalFormatting sqref="D2:D5">
    <cfRule type="expression" dxfId="464" priority="26">
      <formula>"&gt;=200"</formula>
    </cfRule>
  </conditionalFormatting>
  <conditionalFormatting sqref="D2:D5">
    <cfRule type="cellIs" dxfId="463" priority="24" operator="greaterThanOrEqual">
      <formula>200</formula>
    </cfRule>
    <cfRule type="expression" dxfId="462" priority="25">
      <formula>"&gt;=200"</formula>
    </cfRule>
  </conditionalFormatting>
  <conditionalFormatting sqref="I1:J1 J2:J36">
    <cfRule type="expression" dxfId="461" priority="22">
      <formula>"&gt;=200"</formula>
    </cfRule>
  </conditionalFormatting>
  <conditionalFormatting sqref="D27">
    <cfRule type="expression" dxfId="460" priority="21">
      <formula>"&gt;=200"</formula>
    </cfRule>
  </conditionalFormatting>
  <conditionalFormatting sqref="D27">
    <cfRule type="cellIs" dxfId="459" priority="19" operator="greaterThanOrEqual">
      <formula>200</formula>
    </cfRule>
    <cfRule type="expression" dxfId="458" priority="20">
      <formula>"&gt;=200"</formula>
    </cfRule>
  </conditionalFormatting>
  <conditionalFormatting sqref="D28">
    <cfRule type="expression" dxfId="457" priority="18">
      <formula>"&gt;=200"</formula>
    </cfRule>
  </conditionalFormatting>
  <conditionalFormatting sqref="D28">
    <cfRule type="cellIs" dxfId="456" priority="16" operator="greaterThanOrEqual">
      <formula>200</formula>
    </cfRule>
    <cfRule type="expression" dxfId="455" priority="17">
      <formula>"&gt;=200"</formula>
    </cfRule>
  </conditionalFormatting>
  <conditionalFormatting sqref="F2">
    <cfRule type="expression" dxfId="454" priority="15">
      <formula>"&gt;=200"</formula>
    </cfRule>
  </conditionalFormatting>
  <conditionalFormatting sqref="F2">
    <cfRule type="cellIs" dxfId="453" priority="13" operator="greaterThanOrEqual">
      <formula>200</formula>
    </cfRule>
    <cfRule type="expression" dxfId="452" priority="14">
      <formula>"&gt;=200"</formula>
    </cfRule>
  </conditionalFormatting>
  <conditionalFormatting sqref="F28:F29">
    <cfRule type="expression" dxfId="451" priority="12">
      <formula>"&gt;=200"</formula>
    </cfRule>
  </conditionalFormatting>
  <conditionalFormatting sqref="F28:F29">
    <cfRule type="cellIs" dxfId="450" priority="10" operator="greaterThanOrEqual">
      <formula>200</formula>
    </cfRule>
    <cfRule type="expression" dxfId="449" priority="11">
      <formula>"&gt;=200"</formula>
    </cfRule>
  </conditionalFormatting>
  <conditionalFormatting sqref="F27">
    <cfRule type="expression" dxfId="448" priority="9">
      <formula>"&gt;=200"</formula>
    </cfRule>
  </conditionalFormatting>
  <conditionalFormatting sqref="F27">
    <cfRule type="cellIs" dxfId="447" priority="7" operator="greaterThanOrEqual">
      <formula>200</formula>
    </cfRule>
    <cfRule type="expression" dxfId="446" priority="8">
      <formula>"&gt;=200"</formula>
    </cfRule>
  </conditionalFormatting>
  <conditionalFormatting sqref="F25">
    <cfRule type="expression" dxfId="445" priority="6">
      <formula>"&gt;=200"</formula>
    </cfRule>
  </conditionalFormatting>
  <conditionalFormatting sqref="F25">
    <cfRule type="cellIs" dxfId="444" priority="4" operator="greaterThanOrEqual">
      <formula>200</formula>
    </cfRule>
    <cfRule type="expression" dxfId="443" priority="5">
      <formula>"&gt;=200"</formula>
    </cfRule>
  </conditionalFormatting>
  <conditionalFormatting sqref="I2:I36">
    <cfRule type="expression" dxfId="442" priority="3">
      <formula>"&gt;=200"</formula>
    </cfRule>
  </conditionalFormatting>
  <conditionalFormatting sqref="I2:I36">
    <cfRule type="cellIs" dxfId="441" priority="1" operator="greaterThanOrEqual">
      <formula>200</formula>
    </cfRule>
    <cfRule type="expression" dxfId="440" priority="2">
      <formula>"&gt;=200"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43"/>
  <sheetViews>
    <sheetView showGridLines="0" zoomScale="85" zoomScaleNormal="85" workbookViewId="0">
      <selection activeCell="AF26" sqref="AF25:AF26"/>
    </sheetView>
  </sheetViews>
  <sheetFormatPr defaultColWidth="9" defaultRowHeight="13.5"/>
  <cols>
    <col min="1" max="5" width="9" style="169"/>
    <col min="6" max="8" width="5.375" style="169" customWidth="1"/>
    <col min="9" max="9" width="9" style="169"/>
    <col min="10" max="12" width="5.375" style="169" customWidth="1"/>
    <col min="13" max="13" width="9" style="169"/>
    <col min="14" max="16" width="5.375" style="169" customWidth="1"/>
    <col min="17" max="17" width="7.375" style="170" customWidth="1"/>
    <col min="18" max="18" width="7.375" style="171" customWidth="1"/>
    <col min="19" max="20" width="7.375" style="169" customWidth="1"/>
    <col min="21" max="21" width="9" style="169"/>
    <col min="22" max="23" width="9" style="172" hidden="1" customWidth="1"/>
    <col min="24" max="25" width="9" style="267" hidden="1" customWidth="1"/>
    <col min="26" max="27" width="9" style="169" hidden="1" customWidth="1"/>
    <col min="28" max="28" width="9" style="169" customWidth="1"/>
    <col min="29" max="16384" width="9" style="169"/>
  </cols>
  <sheetData>
    <row r="2" spans="2:35">
      <c r="B2" s="550" t="s">
        <v>154</v>
      </c>
      <c r="C2" s="166" t="s">
        <v>156</v>
      </c>
      <c r="D2" s="167" t="str">
        <f>VLOOKUP(E2,W14:Z37,4,0)</f>
        <v>정동현</v>
      </c>
      <c r="E2" s="198">
        <f t="array" ref="E2">MAX(IF(Y14:Y38="남",W14:W38))</f>
        <v>223</v>
      </c>
      <c r="F2" s="268"/>
    </row>
    <row r="3" spans="2:35">
      <c r="B3" s="551"/>
      <c r="C3" s="166" t="s">
        <v>157</v>
      </c>
      <c r="D3" s="167" t="str">
        <f>VLOOKUP(E3,W15:Z38,4,0)</f>
        <v>오수인</v>
      </c>
      <c r="E3" s="198">
        <f t="array" ref="E3">MAX(IF(Y15:Y39="여",W15:W39))</f>
        <v>153</v>
      </c>
      <c r="F3" s="268"/>
    </row>
    <row r="4" spans="2:35">
      <c r="B4" s="550" t="s">
        <v>158</v>
      </c>
      <c r="C4" s="166" t="s">
        <v>156</v>
      </c>
      <c r="D4" s="167" t="str">
        <f>VLOOKUP(E4,X14:Z38,3,0)</f>
        <v>정동현</v>
      </c>
      <c r="E4" s="168">
        <f t="array" ref="E4">MAX(IF(Y14:Y38="남",X14:X38))</f>
        <v>180.66666666666666</v>
      </c>
      <c r="F4" s="268"/>
    </row>
    <row r="5" spans="2:35">
      <c r="B5" s="551"/>
      <c r="C5" s="166" t="s">
        <v>157</v>
      </c>
      <c r="D5" s="167" t="str">
        <f>VLOOKUP(E5,X15:Z39,3,0)</f>
        <v>오수인</v>
      </c>
      <c r="E5" s="168">
        <f t="array" ref="E5">MAX(IF(Y14:Y38="여",X14:X38))</f>
        <v>148.33333333333334</v>
      </c>
      <c r="F5" s="268"/>
    </row>
    <row r="6" spans="2:35" ht="16.5">
      <c r="B6" s="550" t="s">
        <v>224</v>
      </c>
      <c r="C6" s="235" t="s">
        <v>154</v>
      </c>
      <c r="D6" s="554" t="s">
        <v>13</v>
      </c>
      <c r="E6" s="472"/>
      <c r="F6" s="269"/>
    </row>
    <row r="7" spans="2:35" ht="16.5">
      <c r="B7" s="552"/>
      <c r="C7" s="235" t="s">
        <v>226</v>
      </c>
      <c r="D7" s="554" t="s">
        <v>8</v>
      </c>
      <c r="E7" s="472"/>
      <c r="F7" s="269"/>
    </row>
    <row r="8" spans="2:35" ht="16.5">
      <c r="B8" s="552"/>
      <c r="C8" s="235" t="s">
        <v>88</v>
      </c>
      <c r="D8" s="554"/>
      <c r="E8" s="498"/>
      <c r="F8" s="270"/>
    </row>
    <row r="9" spans="2:35" ht="16.5">
      <c r="B9" s="553"/>
      <c r="C9" s="235" t="s">
        <v>227</v>
      </c>
      <c r="D9" s="554"/>
      <c r="E9" s="472"/>
      <c r="F9" s="269"/>
      <c r="G9" s="386"/>
    </row>
    <row r="11" spans="2:35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545"/>
      <c r="M11" s="545"/>
      <c r="N11" s="546"/>
      <c r="O11" s="546"/>
      <c r="P11" s="496"/>
      <c r="Q11" s="547" t="s">
        <v>142</v>
      </c>
      <c r="R11" s="548" t="s">
        <v>184</v>
      </c>
      <c r="S11" s="542" t="s">
        <v>169</v>
      </c>
      <c r="T11" s="542"/>
      <c r="U11" s="542" t="s">
        <v>335</v>
      </c>
    </row>
    <row r="12" spans="2:35">
      <c r="C12" s="543"/>
      <c r="D12" s="543"/>
      <c r="E12" s="543">
        <v>1</v>
      </c>
      <c r="F12" s="543"/>
      <c r="G12" s="543"/>
      <c r="H12" s="543"/>
      <c r="I12" s="543">
        <v>2</v>
      </c>
      <c r="J12" s="543"/>
      <c r="K12" s="543"/>
      <c r="L12" s="543"/>
      <c r="M12" s="543">
        <v>3</v>
      </c>
      <c r="N12" s="543"/>
      <c r="O12" s="543"/>
      <c r="P12" s="543"/>
      <c r="Q12" s="547"/>
      <c r="R12" s="549"/>
      <c r="S12" s="542"/>
      <c r="T12" s="542"/>
      <c r="U12" s="542"/>
      <c r="AB12" s="172"/>
    </row>
    <row r="13" spans="2:35" ht="27">
      <c r="C13" s="543"/>
      <c r="D13" s="543"/>
      <c r="E13" s="433" t="s">
        <v>150</v>
      </c>
      <c r="F13" s="432" t="s">
        <v>302</v>
      </c>
      <c r="G13" s="432" t="s">
        <v>152</v>
      </c>
      <c r="H13" s="432" t="s">
        <v>153</v>
      </c>
      <c r="I13" s="433" t="s">
        <v>150</v>
      </c>
      <c r="J13" s="432" t="s">
        <v>302</v>
      </c>
      <c r="K13" s="432" t="s">
        <v>152</v>
      </c>
      <c r="L13" s="432" t="s">
        <v>153</v>
      </c>
      <c r="M13" s="433" t="s">
        <v>150</v>
      </c>
      <c r="N13" s="432" t="s">
        <v>302</v>
      </c>
      <c r="O13" s="432" t="s">
        <v>152</v>
      </c>
      <c r="P13" s="432" t="s">
        <v>153</v>
      </c>
      <c r="Q13" s="547"/>
      <c r="R13" s="549"/>
      <c r="S13" s="432" t="s">
        <v>144</v>
      </c>
      <c r="T13" s="433" t="s">
        <v>168</v>
      </c>
      <c r="U13" s="543"/>
      <c r="W13" s="172" t="s">
        <v>170</v>
      </c>
      <c r="X13" s="267" t="s">
        <v>171</v>
      </c>
    </row>
    <row r="14" spans="2:35">
      <c r="C14" s="537" t="s">
        <v>145</v>
      </c>
      <c r="D14" s="180" t="s">
        <v>11</v>
      </c>
      <c r="E14" s="275">
        <f>IFERROR(VLOOKUP(D14,'미니게임_DATA(순)'!$A$4:$EV$50,133,0),0)</f>
        <v>166</v>
      </c>
      <c r="F14" s="273"/>
      <c r="G14" s="526">
        <f>RANK(E18,($E$18,$E$23,$E$28,$E$33,E$38,$E$43))</f>
        <v>4</v>
      </c>
      <c r="H14" s="526">
        <f>G14</f>
        <v>4</v>
      </c>
      <c r="I14" s="275">
        <f>IFERROR(VLOOKUP(D14,'미니게임_DATA(순)'!$A$4:$EV$50,134,0),0)</f>
        <v>165</v>
      </c>
      <c r="J14" s="273"/>
      <c r="K14" s="526">
        <f>RANK(I18,($I$18,$I$23,$I$28,$I$33,I$38,$I$43))</f>
        <v>4</v>
      </c>
      <c r="L14" s="526">
        <f>RANK(AA18,($AA$18,$AA$23,$AA$28,$AA$33,$AA$38,$AA$43))</f>
        <v>4</v>
      </c>
      <c r="M14" s="275">
        <f>IFERROR(VLOOKUP(D14,'미니게임_DATA(순)'!$A$4:$EV$50,135,0),0)</f>
        <v>127</v>
      </c>
      <c r="N14" s="273"/>
      <c r="O14" s="526">
        <f>RANK(M18,($M$18,$M$23,$M$28,$M$33,$M$38,$M$43))</f>
        <v>4</v>
      </c>
      <c r="P14" s="526">
        <f>S14</f>
        <v>4</v>
      </c>
      <c r="Q14" s="273">
        <f t="shared" ref="Q14:Q43" si="0">E14+I14+M14</f>
        <v>458</v>
      </c>
      <c r="R14" s="274">
        <f>AVERAGE(E14,I14,M14)</f>
        <v>152.66666666666666</v>
      </c>
      <c r="S14" s="529">
        <f>RANK(Q18,($Q$18,$Q$23,$Q$28,$Q$33,$Q$38,$Q$43))</f>
        <v>4</v>
      </c>
      <c r="T14" s="541">
        <f>MAX($Q$18,$Q$23,Q$28,Q$33,Q$38)-Q18</f>
        <v>330</v>
      </c>
      <c r="U14" s="184">
        <f>IFERROR(R14-VLOOKUP(D14,'미니게임_DATA(순)'!$A:$FB,MATCH("rct 20g avg",'미니게임_DATA(순)'!$A$3:$FB$3,0),0),0)</f>
        <v>-5.4833333333333485</v>
      </c>
      <c r="W14" s="185">
        <f>MAX(E14,I14,M14)</f>
        <v>166</v>
      </c>
      <c r="X14" s="267">
        <f>R14</f>
        <v>152.66666666666666</v>
      </c>
      <c r="Y14" s="267" t="str">
        <f>VLOOKUP(Z14,'미니게임_DATA(순)'!$A$4:$C$45,3,0)</f>
        <v>남</v>
      </c>
      <c r="Z14" s="187" t="str">
        <f>D14</f>
        <v>박용승</v>
      </c>
      <c r="AI14" s="169" t="s">
        <v>299</v>
      </c>
    </row>
    <row r="15" spans="2:35">
      <c r="C15" s="538"/>
      <c r="D15" s="188" t="s">
        <v>10</v>
      </c>
      <c r="E15" s="275">
        <f>IFERROR(VLOOKUP(D15,'미니게임_DATA(순)'!$A$4:$EV$50,133,0),0)</f>
        <v>136</v>
      </c>
      <c r="F15" s="275"/>
      <c r="G15" s="527"/>
      <c r="H15" s="527"/>
      <c r="I15" s="275">
        <f>IFERROR(VLOOKUP(D15,'미니게임_DATA(순)'!$A$4:$EV$50,134,0),0)</f>
        <v>178</v>
      </c>
      <c r="J15" s="275"/>
      <c r="K15" s="527"/>
      <c r="L15" s="527"/>
      <c r="M15" s="275">
        <f>IFERROR(VLOOKUP(D15,'미니게임_DATA(순)'!$A$4:$EV$50,135,0),0)</f>
        <v>140</v>
      </c>
      <c r="N15" s="275"/>
      <c r="O15" s="527"/>
      <c r="P15" s="527"/>
      <c r="Q15" s="275">
        <f t="shared" si="0"/>
        <v>454</v>
      </c>
      <c r="R15" s="300">
        <f t="shared" ref="R15:R16" si="1">AVERAGE(E15,I15,M15)</f>
        <v>151.33333333333334</v>
      </c>
      <c r="S15" s="530"/>
      <c r="T15" s="527"/>
      <c r="U15" s="190">
        <f>IFERROR(R15-VLOOKUP(D15,'미니게임_DATA(순)'!$A:$FB,MATCH("rct 20g avg",'미니게임_DATA(순)'!$A$3:$FB$3,0),0),0)</f>
        <v>0.43333333333333712</v>
      </c>
      <c r="W15" s="185">
        <f t="shared" ref="W15:W16" si="2">MAX(E15,I15,M15)</f>
        <v>178</v>
      </c>
      <c r="X15" s="267">
        <f t="shared" ref="X15:X16" si="3">R15</f>
        <v>151.33333333333334</v>
      </c>
      <c r="Y15" s="267" t="str">
        <f>VLOOKUP(Z15,'미니게임_DATA(순)'!$A$4:$C$45,3,0)</f>
        <v>남</v>
      </c>
      <c r="Z15" s="187" t="str">
        <f>D15</f>
        <v>김신철</v>
      </c>
    </row>
    <row r="16" spans="2:35">
      <c r="C16" s="538"/>
      <c r="D16" s="188" t="s">
        <v>404</v>
      </c>
      <c r="E16" s="275">
        <f>IFERROR(VLOOKUP(D16,'미니게임_DATA(순)'!$A$4:$EV$50,133,0),0)</f>
        <v>129</v>
      </c>
      <c r="F16" s="275"/>
      <c r="G16" s="527"/>
      <c r="H16" s="527"/>
      <c r="I16" s="275">
        <f>IFERROR(VLOOKUP(D16,'미니게임_DATA(순)'!$A$4:$EV$50,134,0),0)</f>
        <v>115</v>
      </c>
      <c r="J16" s="275"/>
      <c r="K16" s="527"/>
      <c r="L16" s="527"/>
      <c r="M16" s="275">
        <f>IFERROR(VLOOKUP(D16,'미니게임_DATA(순)'!$A$4:$EV$50,135,0),0)</f>
        <v>132</v>
      </c>
      <c r="N16" s="275"/>
      <c r="O16" s="527"/>
      <c r="P16" s="527"/>
      <c r="Q16" s="275">
        <f t="shared" si="0"/>
        <v>376</v>
      </c>
      <c r="R16" s="276">
        <f t="shared" si="1"/>
        <v>125.33333333333333</v>
      </c>
      <c r="S16" s="530"/>
      <c r="T16" s="527"/>
      <c r="U16" s="190">
        <f>IFERROR(R16-VLOOKUP(D16,'미니게임_DATA(순)'!$A:$FB,MATCH("rct 20g avg",'미니게임_DATA(순)'!$A$3:$FB$3,0),0),0)</f>
        <v>-11.61666666666666</v>
      </c>
      <c r="W16" s="185">
        <f t="shared" si="2"/>
        <v>132</v>
      </c>
      <c r="X16" s="267">
        <f t="shared" si="3"/>
        <v>125.33333333333333</v>
      </c>
      <c r="Y16" s="267" t="str">
        <f>VLOOKUP(Z16,'미니게임_DATA(순)'!$A$4:$C$45,3,0)</f>
        <v>남</v>
      </c>
      <c r="Z16" s="187" t="str">
        <f>D16</f>
        <v>남준석</v>
      </c>
    </row>
    <row r="17" spans="3:27">
      <c r="C17" s="538"/>
      <c r="D17" s="191"/>
      <c r="E17" s="279"/>
      <c r="F17" s="279"/>
      <c r="G17" s="527"/>
      <c r="H17" s="527"/>
      <c r="I17" s="279"/>
      <c r="J17" s="279"/>
      <c r="K17" s="527"/>
      <c r="L17" s="527"/>
      <c r="M17" s="279"/>
      <c r="N17" s="279"/>
      <c r="O17" s="527"/>
      <c r="P17" s="527"/>
      <c r="Q17" s="279">
        <f t="shared" si="0"/>
        <v>0</v>
      </c>
      <c r="R17" s="276">
        <f t="shared" ref="R17" si="4">Q17/3</f>
        <v>0</v>
      </c>
      <c r="S17" s="530"/>
      <c r="T17" s="527"/>
      <c r="U17" s="190">
        <f>IFERROR(R17-VLOOKUP(D17,'미니게임_DATA(순)'!$A:$FB,MATCH("rct 20g avg",'미니게임_DATA(순)'!$A$3:$FB$3,0),0),0)</f>
        <v>0</v>
      </c>
      <c r="W17" s="185"/>
      <c r="Z17" s="187"/>
    </row>
    <row r="18" spans="3:27" ht="16.5">
      <c r="C18" s="539"/>
      <c r="D18" s="434"/>
      <c r="E18" s="535">
        <f>SUMIF(E14:F17, "&gt;0")</f>
        <v>431</v>
      </c>
      <c r="F18" s="498"/>
      <c r="G18" s="528"/>
      <c r="H18" s="528"/>
      <c r="I18" s="535">
        <f>SUMIF(I14:J17, "&gt;0")</f>
        <v>458</v>
      </c>
      <c r="J18" s="498"/>
      <c r="K18" s="528"/>
      <c r="L18" s="528"/>
      <c r="M18" s="535">
        <f>SUMIF(M14:N17, "&gt;0")</f>
        <v>399</v>
      </c>
      <c r="N18" s="498"/>
      <c r="O18" s="528"/>
      <c r="P18" s="528"/>
      <c r="Q18" s="272">
        <f t="shared" si="0"/>
        <v>1288</v>
      </c>
      <c r="R18" s="196"/>
      <c r="S18" s="531"/>
      <c r="T18" s="528"/>
      <c r="U18" s="277">
        <f>IFERROR(R18-VLOOKUP(D18,'미니게임_DATA(순)'!$A:$FB,MATCH("rct 20g avg",'미니게임_DATA(순)'!$A$3:$FB$3,0),0),0)</f>
        <v>0</v>
      </c>
      <c r="V18" s="185"/>
      <c r="W18" s="185"/>
      <c r="Z18" s="187">
        <f>D18</f>
        <v>0</v>
      </c>
      <c r="AA18" s="187">
        <f>SUM(E18,I18)</f>
        <v>889</v>
      </c>
    </row>
    <row r="19" spans="3:27">
      <c r="C19" s="537" t="s">
        <v>146</v>
      </c>
      <c r="D19" s="180" t="s">
        <v>37</v>
      </c>
      <c r="E19" s="275">
        <f>IFERROR(VLOOKUP(D19,'미니게임_DATA(순)'!$A$4:$EV$50,133,0),0)</f>
        <v>185</v>
      </c>
      <c r="F19" s="273"/>
      <c r="G19" s="526">
        <f>RANK(E23,($E$18,$E$23,$E$28,$E$33,E$38,$E$43))</f>
        <v>1</v>
      </c>
      <c r="H19" s="526">
        <f t="shared" ref="H19" si="5">G19</f>
        <v>1</v>
      </c>
      <c r="I19" s="275">
        <f>IFERROR(VLOOKUP(D19,'미니게임_DATA(순)'!$A$4:$EV$50,134,0),0)</f>
        <v>192</v>
      </c>
      <c r="J19" s="273"/>
      <c r="K19" s="526">
        <f>RANK(I23,($I$18,$I$23,$I$28,$I$33,I$38,$I$43))</f>
        <v>1</v>
      </c>
      <c r="L19" s="526">
        <f>RANK(AA23,($AA$18,$AA$23,$AA$28,$AA$33,$AA$38,$AA$43))</f>
        <v>1</v>
      </c>
      <c r="M19" s="275">
        <f>IFERROR(VLOOKUP(D19,'미니게임_DATA(순)'!$A$4:$EV$50,135,0),0)</f>
        <v>149</v>
      </c>
      <c r="N19" s="273"/>
      <c r="O19" s="526">
        <f>RANK(M23,($M$18,$M$23,$M$28,$M$33,$M$38,$M$43))</f>
        <v>3</v>
      </c>
      <c r="P19" s="526">
        <f t="shared" ref="P19" si="6">S19</f>
        <v>1</v>
      </c>
      <c r="Q19" s="273">
        <f t="shared" si="0"/>
        <v>526</v>
      </c>
      <c r="R19" s="274">
        <f>AVERAGE(E19,I19,M19)</f>
        <v>175.33333333333334</v>
      </c>
      <c r="S19" s="529">
        <f>RANK(Q23,($Q$18,$Q$23,$Q$28,$Q$33,$Q$38,$Q$43))</f>
        <v>1</v>
      </c>
      <c r="T19" s="532">
        <f>MAX($Q$18,$Q$23,Q$28,Q$33,Q$38)-Q23</f>
        <v>0</v>
      </c>
      <c r="U19" s="184">
        <f>IFERROR(R19-VLOOKUP(D19,'미니게임_DATA(순)'!$A:$FB,MATCH("rct 20g avg",'미니게임_DATA(순)'!$A$3:$FB$3,0),0),0)</f>
        <v>8.2333333333333485</v>
      </c>
      <c r="W19" s="185">
        <f>MAX(E19,I19,M19)</f>
        <v>192</v>
      </c>
      <c r="X19" s="267">
        <f>R19</f>
        <v>175.33333333333334</v>
      </c>
      <c r="Y19" s="267" t="str">
        <f>VLOOKUP(Z19,'미니게임_DATA(순)'!$A$4:$C$45,3,0)</f>
        <v>남</v>
      </c>
      <c r="Z19" s="187" t="str">
        <f>D19</f>
        <v>최은규</v>
      </c>
    </row>
    <row r="20" spans="3:27">
      <c r="C20" s="538"/>
      <c r="D20" s="188" t="s">
        <v>16</v>
      </c>
      <c r="E20" s="275">
        <f>IFERROR(VLOOKUP(D20,'미니게임_DATA(순)'!$A$4:$EV$50,133,0),0)</f>
        <v>164</v>
      </c>
      <c r="F20" s="275"/>
      <c r="G20" s="527"/>
      <c r="H20" s="527"/>
      <c r="I20" s="275">
        <f>IFERROR(VLOOKUP(D20,'미니게임_DATA(순)'!$A$4:$EV$50,134,0),0)</f>
        <v>194</v>
      </c>
      <c r="J20" s="275"/>
      <c r="K20" s="527"/>
      <c r="L20" s="527"/>
      <c r="M20" s="275">
        <f>IFERROR(VLOOKUP(D20,'미니게임_DATA(순)'!$A$4:$EV$50,135,0),0)</f>
        <v>159</v>
      </c>
      <c r="N20" s="275"/>
      <c r="O20" s="527"/>
      <c r="P20" s="527"/>
      <c r="Q20" s="275">
        <f t="shared" si="0"/>
        <v>517</v>
      </c>
      <c r="R20" s="300">
        <f t="shared" ref="R20:R21" si="7">AVERAGE(E20,I20,M20)</f>
        <v>172.33333333333334</v>
      </c>
      <c r="S20" s="530"/>
      <c r="T20" s="533"/>
      <c r="U20" s="190">
        <f>IFERROR(R20-VLOOKUP(D20,'미니게임_DATA(순)'!$A:$FB,MATCH("rct 20g avg",'미니게임_DATA(순)'!$A$3:$FB$3,0),0),0)</f>
        <v>15.833333333333343</v>
      </c>
      <c r="W20" s="185">
        <f t="shared" ref="W20:W21" si="8">MAX(E20,I20,M20)</f>
        <v>194</v>
      </c>
      <c r="X20" s="267">
        <f>R20</f>
        <v>172.33333333333334</v>
      </c>
      <c r="Y20" s="267" t="str">
        <f>VLOOKUP(Z20,'미니게임_DATA(순)'!$A$4:$C$45,3,0)</f>
        <v>남</v>
      </c>
      <c r="Z20" s="187" t="str">
        <f>D20</f>
        <v>전병기</v>
      </c>
    </row>
    <row r="21" spans="3:27">
      <c r="C21" s="538"/>
      <c r="D21" s="188" t="s">
        <v>468</v>
      </c>
      <c r="E21" s="275">
        <f>IFERROR(VLOOKUP(D21,'미니게임_DATA(순)'!$A$4:$EV$50,133,0),0)</f>
        <v>182</v>
      </c>
      <c r="F21" s="275">
        <v>30</v>
      </c>
      <c r="G21" s="527"/>
      <c r="H21" s="527"/>
      <c r="I21" s="275">
        <f>IFERROR(VLOOKUP(D21,'미니게임_DATA(순)'!$A$4:$EV$50,134,0),0)</f>
        <v>156</v>
      </c>
      <c r="J21" s="275">
        <v>30</v>
      </c>
      <c r="K21" s="527"/>
      <c r="L21" s="527"/>
      <c r="M21" s="275">
        <f>IFERROR(VLOOKUP(D21,'미니게임_DATA(순)'!$A$4:$EV$50,135,0),0)</f>
        <v>147</v>
      </c>
      <c r="N21" s="275">
        <v>30</v>
      </c>
      <c r="O21" s="527"/>
      <c r="P21" s="527"/>
      <c r="Q21" s="275">
        <f t="shared" si="0"/>
        <v>485</v>
      </c>
      <c r="R21" s="276">
        <f t="shared" si="7"/>
        <v>161.66666666666666</v>
      </c>
      <c r="S21" s="530"/>
      <c r="T21" s="533"/>
      <c r="U21" s="190">
        <f>IFERROR(R21-VLOOKUP(D21,'미니게임_DATA(순)'!$A:$FB,MATCH("rct 20g avg",'미니게임_DATA(순)'!$A$3:$FB$3,0),0),0)</f>
        <v>23.666666666666657</v>
      </c>
      <c r="W21" s="185">
        <f t="shared" si="8"/>
        <v>182</v>
      </c>
      <c r="X21" s="267">
        <f>R21</f>
        <v>161.66666666666666</v>
      </c>
      <c r="Z21" s="187" t="str">
        <f>D21</f>
        <v>안재혁</v>
      </c>
    </row>
    <row r="22" spans="3:27">
      <c r="C22" s="538"/>
      <c r="D22" s="188"/>
      <c r="E22" s="279"/>
      <c r="F22" s="279"/>
      <c r="G22" s="527"/>
      <c r="H22" s="527"/>
      <c r="I22" s="279"/>
      <c r="J22" s="279"/>
      <c r="K22" s="527"/>
      <c r="L22" s="527"/>
      <c r="M22" s="279"/>
      <c r="N22" s="279"/>
      <c r="O22" s="527"/>
      <c r="P22" s="527"/>
      <c r="Q22" s="279">
        <f t="shared" si="0"/>
        <v>0</v>
      </c>
      <c r="R22" s="276">
        <f t="shared" ref="R22" si="9">Q22/3</f>
        <v>0</v>
      </c>
      <c r="S22" s="530"/>
      <c r="T22" s="533"/>
      <c r="U22" s="190">
        <f>IFERROR(R22-VLOOKUP(D22,'미니게임_DATA(순)'!$A:$FB,MATCH("rct 20g avg",'미니게임_DATA(순)'!$A$3:$FB$3,0),0),0)</f>
        <v>0</v>
      </c>
      <c r="W22" s="185"/>
      <c r="Z22" s="187"/>
    </row>
    <row r="23" spans="3:27" ht="16.5">
      <c r="C23" s="539"/>
      <c r="D23" s="434"/>
      <c r="E23" s="535">
        <f>SUMIF(E19:F22, "&gt;0")</f>
        <v>561</v>
      </c>
      <c r="F23" s="498"/>
      <c r="G23" s="528"/>
      <c r="H23" s="528"/>
      <c r="I23" s="535">
        <f>SUMIF(I19:J22, "&gt;0")</f>
        <v>572</v>
      </c>
      <c r="J23" s="498"/>
      <c r="K23" s="528"/>
      <c r="L23" s="528"/>
      <c r="M23" s="535">
        <f>SUMIF(M19:N22, "&gt;0")</f>
        <v>485</v>
      </c>
      <c r="N23" s="498"/>
      <c r="O23" s="528"/>
      <c r="P23" s="528"/>
      <c r="Q23" s="272">
        <f t="shared" si="0"/>
        <v>1618</v>
      </c>
      <c r="R23" s="196"/>
      <c r="S23" s="531"/>
      <c r="T23" s="534"/>
      <c r="U23" s="277">
        <f>IFERROR(R23-VLOOKUP(D23,'미니게임_DATA(순)'!$A:$FB,MATCH("rct 20g avg",'미니게임_DATA(순)'!$A$3:$FB$3,0),0),0)</f>
        <v>0</v>
      </c>
      <c r="V23" s="185"/>
      <c r="W23" s="185"/>
      <c r="Z23" s="187">
        <f t="shared" ref="Z23:Z32" si="10">D23</f>
        <v>0</v>
      </c>
      <c r="AA23" s="187">
        <f>SUM(E23,I23)</f>
        <v>1133</v>
      </c>
    </row>
    <row r="24" spans="3:27">
      <c r="C24" s="537" t="s">
        <v>147</v>
      </c>
      <c r="D24" s="180" t="s">
        <v>13</v>
      </c>
      <c r="E24" s="275">
        <f>IFERROR(VLOOKUP(D24,'미니게임_DATA(순)'!$A$4:$EV$50,133,0),0)</f>
        <v>138</v>
      </c>
      <c r="F24" s="273"/>
      <c r="G24" s="526">
        <f>RANK(E28,($E$18,$E$23,$E$28,$E$33,E$38,$E$43))</f>
        <v>3</v>
      </c>
      <c r="H24" s="526">
        <f t="shared" ref="H24" si="11">G24</f>
        <v>3</v>
      </c>
      <c r="I24" s="275">
        <f>IFERROR(VLOOKUP(D24,'미니게임_DATA(순)'!$A$4:$EV$50,134,0),0)</f>
        <v>181</v>
      </c>
      <c r="J24" s="273"/>
      <c r="K24" s="526">
        <f>RANK(I28,($I$18,$I$23,$I$28,$I$33,I$38,$I$43))</f>
        <v>2</v>
      </c>
      <c r="L24" s="526">
        <f>RANK(AA28,($AA$18,$AA$23,$AA$28,$AA$33,$AA$38,$AA$43))</f>
        <v>3</v>
      </c>
      <c r="M24" s="275">
        <f>IFERROR(VLOOKUP(D24,'미니게임_DATA(순)'!$A$4:$EV$50,135,0),0)</f>
        <v>223</v>
      </c>
      <c r="N24" s="273"/>
      <c r="O24" s="526">
        <f>RANK(M28,($M$18,$M$23,$M$28,$M$33,$M$38,$M$43))</f>
        <v>2</v>
      </c>
      <c r="P24" s="526">
        <f t="shared" ref="P24" si="12">S24</f>
        <v>3</v>
      </c>
      <c r="Q24" s="273">
        <f t="shared" si="0"/>
        <v>542</v>
      </c>
      <c r="R24" s="274">
        <f>AVERAGE(E24,I24,M24)</f>
        <v>180.66666666666666</v>
      </c>
      <c r="S24" s="529">
        <f>RANK(Q28,($Q$18,$Q$23,$Q$28,$Q$33,$Q$38,$Q$43))</f>
        <v>3</v>
      </c>
      <c r="T24" s="532">
        <f>MAX($Q$18,$Q$23,Q$28,Q$33,Q$38)-Q28</f>
        <v>125</v>
      </c>
      <c r="U24" s="184">
        <f>IFERROR(R24-VLOOKUP(D24,'미니게임_DATA(순)'!$A:$FB,MATCH("rct 20g avg",'미니게임_DATA(순)'!$A$3:$FB$3,0),0),0)</f>
        <v>23.566666666666663</v>
      </c>
      <c r="W24" s="185">
        <f t="shared" ref="W24:W27" si="13">MAX(E24,I24,M24)</f>
        <v>223</v>
      </c>
      <c r="X24" s="267">
        <f>R24</f>
        <v>180.66666666666666</v>
      </c>
      <c r="Y24" s="267" t="s">
        <v>156</v>
      </c>
      <c r="Z24" s="187" t="str">
        <f t="shared" si="10"/>
        <v>정동현</v>
      </c>
    </row>
    <row r="25" spans="3:27">
      <c r="C25" s="538"/>
      <c r="D25" s="188" t="s">
        <v>38</v>
      </c>
      <c r="E25" s="275">
        <f>IFERROR(VLOOKUP(D25,'미니게임_DATA(순)'!$A$4:$EV$50,133,0),0)</f>
        <v>158</v>
      </c>
      <c r="F25" s="275"/>
      <c r="G25" s="527"/>
      <c r="H25" s="527"/>
      <c r="I25" s="275">
        <f>IFERROR(VLOOKUP(D25,'미니게임_DATA(순)'!$A$4:$EV$50,134,0),0)</f>
        <v>201</v>
      </c>
      <c r="J25" s="275"/>
      <c r="K25" s="527"/>
      <c r="L25" s="527"/>
      <c r="M25" s="275">
        <f>IFERROR(VLOOKUP(D25,'미니게임_DATA(순)'!$A$4:$EV$50,135,0),0)</f>
        <v>147</v>
      </c>
      <c r="N25" s="275"/>
      <c r="O25" s="527"/>
      <c r="P25" s="527"/>
      <c r="Q25" s="275">
        <f t="shared" si="0"/>
        <v>506</v>
      </c>
      <c r="R25" s="300">
        <f t="shared" ref="R25:R26" si="14">AVERAGE(E25,I25,M25)</f>
        <v>168.66666666666666</v>
      </c>
      <c r="S25" s="530"/>
      <c r="T25" s="533"/>
      <c r="U25" s="190">
        <f>IFERROR(R25-VLOOKUP(D25,'미니게임_DATA(순)'!$A:$FB,MATCH("rct 20g avg",'미니게임_DATA(순)'!$A$3:$FB$3,0),0),0)</f>
        <v>10.316666666666663</v>
      </c>
      <c r="W25" s="185">
        <f t="shared" si="13"/>
        <v>201</v>
      </c>
      <c r="X25" s="267">
        <f>R25</f>
        <v>168.66666666666666</v>
      </c>
      <c r="Y25" s="267" t="str">
        <f>VLOOKUP(Z25,'미니게임_DATA(순)'!$A$4:$C$45,3,0)</f>
        <v>남</v>
      </c>
      <c r="Z25" s="187" t="str">
        <f t="shared" si="10"/>
        <v>이수용</v>
      </c>
    </row>
    <row r="26" spans="3:27">
      <c r="C26" s="538"/>
      <c r="D26" s="188" t="s">
        <v>281</v>
      </c>
      <c r="E26" s="275">
        <f>IFERROR(VLOOKUP(D26,'미니게임_DATA(순)'!$A$4:$EV$50,133,0),0)</f>
        <v>153</v>
      </c>
      <c r="F26" s="275"/>
      <c r="G26" s="527"/>
      <c r="H26" s="527"/>
      <c r="I26" s="275">
        <f>IFERROR(VLOOKUP(D26,'미니게임_DATA(순)'!$A$4:$EV$50,134,0),0)</f>
        <v>148</v>
      </c>
      <c r="J26" s="275"/>
      <c r="K26" s="527"/>
      <c r="L26" s="527"/>
      <c r="M26" s="275">
        <f>IFERROR(VLOOKUP(D26,'미니게임_DATA(순)'!$A$4:$EV$50,135,0),0)</f>
        <v>144</v>
      </c>
      <c r="N26" s="275"/>
      <c r="O26" s="527"/>
      <c r="P26" s="527"/>
      <c r="Q26" s="275">
        <f t="shared" si="0"/>
        <v>445</v>
      </c>
      <c r="R26" s="276">
        <f t="shared" si="14"/>
        <v>148.33333333333334</v>
      </c>
      <c r="S26" s="530"/>
      <c r="T26" s="533"/>
      <c r="U26" s="190">
        <f>IFERROR(R26-VLOOKUP(D26,'미니게임_DATA(순)'!$A:$FB,MATCH("rct 20g avg",'미니게임_DATA(순)'!$A$3:$FB$3,0),0),0)</f>
        <v>-12.316666666666663</v>
      </c>
      <c r="W26" s="185">
        <f t="shared" si="13"/>
        <v>153</v>
      </c>
      <c r="X26" s="267">
        <f>R26</f>
        <v>148.33333333333334</v>
      </c>
      <c r="Y26" s="267" t="str">
        <f>VLOOKUP(Z26,'미니게임_DATA(순)'!$A$4:$C$45,3,0)</f>
        <v>여</v>
      </c>
      <c r="Z26" s="187" t="str">
        <f t="shared" si="10"/>
        <v>오수인</v>
      </c>
    </row>
    <row r="27" spans="3:27">
      <c r="C27" s="538"/>
      <c r="D27" s="191"/>
      <c r="E27" s="302">
        <f>IFERROR(VLOOKUP(D27,'미니게임_DATA(순)'!$A$4:$EV$45,111,0),0)</f>
        <v>0</v>
      </c>
      <c r="F27" s="279"/>
      <c r="G27" s="527"/>
      <c r="H27" s="527"/>
      <c r="I27" s="302">
        <f>IFERROR(VLOOKUP(D27,'미니게임_DATA(순)'!$A$4:$EV$45,112,0),0)</f>
        <v>0</v>
      </c>
      <c r="J27" s="279"/>
      <c r="K27" s="527"/>
      <c r="L27" s="527"/>
      <c r="M27" s="302">
        <f>IFERROR(VLOOKUP(D27,'미니게임_DATA(순)'!$A$4:$EV$45,113,0),0)</f>
        <v>0</v>
      </c>
      <c r="N27" s="279"/>
      <c r="O27" s="527"/>
      <c r="P27" s="527"/>
      <c r="Q27" s="279">
        <f t="shared" si="0"/>
        <v>0</v>
      </c>
      <c r="R27" s="276">
        <f t="shared" ref="R27" si="15">Q27/3</f>
        <v>0</v>
      </c>
      <c r="S27" s="530"/>
      <c r="T27" s="533"/>
      <c r="U27" s="190">
        <f>IFERROR(R27-VLOOKUP(D27,'미니게임_DATA(순)'!$A:$FB,MATCH("rct 20g avg",'미니게임_DATA(순)'!$A$3:$FB$3,0),0),0)</f>
        <v>0</v>
      </c>
      <c r="W27" s="185">
        <f t="shared" si="13"/>
        <v>0</v>
      </c>
      <c r="X27" s="267">
        <f>R27</f>
        <v>0</v>
      </c>
      <c r="Y27" s="388" t="s">
        <v>239</v>
      </c>
      <c r="Z27" s="187">
        <f t="shared" si="10"/>
        <v>0</v>
      </c>
    </row>
    <row r="28" spans="3:27" ht="16.5">
      <c r="C28" s="539"/>
      <c r="D28" s="434"/>
      <c r="E28" s="535">
        <f>SUMIF(E24:F26, "&gt;0")</f>
        <v>449</v>
      </c>
      <c r="F28" s="498"/>
      <c r="G28" s="528"/>
      <c r="H28" s="528"/>
      <c r="I28" s="535">
        <f>SUMIF(I24:J26, "&gt;0")</f>
        <v>530</v>
      </c>
      <c r="J28" s="498"/>
      <c r="K28" s="528"/>
      <c r="L28" s="528"/>
      <c r="M28" s="535">
        <f>SUMIF(M24:N26, "&gt;0")</f>
        <v>514</v>
      </c>
      <c r="N28" s="498"/>
      <c r="O28" s="528"/>
      <c r="P28" s="528"/>
      <c r="Q28" s="272">
        <f t="shared" si="0"/>
        <v>1493</v>
      </c>
      <c r="R28" s="196"/>
      <c r="S28" s="531"/>
      <c r="T28" s="534"/>
      <c r="U28" s="277">
        <f>IFERROR(R28-VLOOKUP(D28,'미니게임_DATA(순)'!$A:$FB,MATCH("rct 20g avg",'미니게임_DATA(순)'!$A$3:$FB$3,0),0),0)</f>
        <v>0</v>
      </c>
      <c r="V28" s="185"/>
      <c r="W28" s="185"/>
      <c r="Z28" s="187">
        <f t="shared" si="10"/>
        <v>0</v>
      </c>
      <c r="AA28" s="187">
        <f>SUM(E28,I28)</f>
        <v>979</v>
      </c>
    </row>
    <row r="29" spans="3:27">
      <c r="C29" s="537" t="s">
        <v>148</v>
      </c>
      <c r="D29" s="180" t="s">
        <v>8</v>
      </c>
      <c r="E29" s="275">
        <f>IFERROR(VLOOKUP(D29,'미니게임_DATA(순)'!$A$4:$EV$50,133,0),0)</f>
        <v>179</v>
      </c>
      <c r="F29" s="273"/>
      <c r="G29" s="526">
        <f>RANK(E33,($E$18,$E$23,$E$28,$E$33,E$38,$E$43))</f>
        <v>2</v>
      </c>
      <c r="H29" s="526">
        <f t="shared" ref="H29" si="16">G29</f>
        <v>2</v>
      </c>
      <c r="I29" s="275">
        <f>IFERROR(VLOOKUP(D29,'미니게임_DATA(순)'!$A$4:$EV$50,134,0),0)</f>
        <v>188</v>
      </c>
      <c r="J29" s="273"/>
      <c r="K29" s="526">
        <f>RANK(I33,($I$18,$I$23,$I$28,$I$33,I$38,$I$43))</f>
        <v>3</v>
      </c>
      <c r="L29" s="526">
        <f>RANK(AA33,($AA$18,$AA$23,$AA$28,$AA$33,$AA$38,$AA$43))</f>
        <v>2</v>
      </c>
      <c r="M29" s="275">
        <f>IFERROR(VLOOKUP(D29,'미니게임_DATA(순)'!$A$4:$EV$50,135,0),0)</f>
        <v>159</v>
      </c>
      <c r="N29" s="273"/>
      <c r="O29" s="526">
        <f>RANK(M33,($M$18,$M$23,$M$28,$M$33,$M$38,$M$43))</f>
        <v>1</v>
      </c>
      <c r="P29" s="526">
        <f t="shared" ref="P29" si="17">S29</f>
        <v>2</v>
      </c>
      <c r="Q29" s="273">
        <f t="shared" si="0"/>
        <v>526</v>
      </c>
      <c r="R29" s="274">
        <f>AVERAGE(E29,I29,M29)</f>
        <v>175.33333333333334</v>
      </c>
      <c r="S29" s="529">
        <f>RANK(Q33,($Q$18,$Q$23,$Q$28,$Q$33,$Q$38,$Q$43))</f>
        <v>2</v>
      </c>
      <c r="T29" s="532">
        <f>MAX($Q$18,$Q$23,Q$28,Q$33,Q$38)-Q33</f>
        <v>69</v>
      </c>
      <c r="U29" s="184">
        <f>IFERROR(R29-VLOOKUP(D29,'미니게임_DATA(순)'!$A:$FB,MATCH("rct 20g avg",'미니게임_DATA(순)'!$A$3:$FB$3,0),0),0)</f>
        <v>-15.216666666666669</v>
      </c>
      <c r="W29" s="185">
        <f t="shared" ref="W29:W31" si="18">MAX(E29,I29,M29)</f>
        <v>188</v>
      </c>
      <c r="X29" s="267">
        <f>R29</f>
        <v>175.33333333333334</v>
      </c>
      <c r="Y29" s="267" t="str">
        <f>IFERROR(VLOOKUP(Z29,'미니게임_DATA(순)'!$A$4:$C$45,3,0),"-")</f>
        <v>남</v>
      </c>
      <c r="Z29" s="187" t="str">
        <f t="shared" si="10"/>
        <v>조문수</v>
      </c>
    </row>
    <row r="30" spans="3:27">
      <c r="C30" s="538"/>
      <c r="D30" s="188" t="s">
        <v>17</v>
      </c>
      <c r="E30" s="275">
        <f>IFERROR(VLOOKUP(D30,'미니게임_DATA(순)'!$A$4:$EV$50,133,0),0)</f>
        <v>171</v>
      </c>
      <c r="F30" s="275"/>
      <c r="G30" s="527"/>
      <c r="H30" s="527"/>
      <c r="I30" s="275">
        <f>IFERROR(VLOOKUP(D30,'미니게임_DATA(순)'!$A$4:$EV$50,134,0),0)</f>
        <v>145</v>
      </c>
      <c r="J30" s="275"/>
      <c r="K30" s="527"/>
      <c r="L30" s="527"/>
      <c r="M30" s="275">
        <f>IFERROR(VLOOKUP(D30,'미니게임_DATA(순)'!$A$4:$EV$50,135,0),0)</f>
        <v>185</v>
      </c>
      <c r="N30" s="275"/>
      <c r="O30" s="527"/>
      <c r="P30" s="527"/>
      <c r="Q30" s="275">
        <f t="shared" si="0"/>
        <v>501</v>
      </c>
      <c r="R30" s="300">
        <f t="shared" ref="R30" si="19">AVERAGE(E30,I30,M30)</f>
        <v>167</v>
      </c>
      <c r="S30" s="530"/>
      <c r="T30" s="533"/>
      <c r="U30" s="190">
        <f>IFERROR(R30-VLOOKUP(D30,'미니게임_DATA(순)'!$A:$FB,MATCH("rct 20g avg",'미니게임_DATA(순)'!$A$3:$FB$3,0),0),0)</f>
        <v>17.650000000000006</v>
      </c>
      <c r="W30" s="185">
        <f t="shared" si="18"/>
        <v>185</v>
      </c>
      <c r="X30" s="267">
        <f>R30</f>
        <v>167</v>
      </c>
      <c r="Y30" s="267" t="str">
        <f>IFERROR(VLOOKUP(Z30,'미니게임_DATA(순)'!$A$4:$C$45,3,0),"-")</f>
        <v>남</v>
      </c>
      <c r="Z30" s="187" t="str">
        <f t="shared" si="10"/>
        <v>한희용</v>
      </c>
    </row>
    <row r="31" spans="3:27">
      <c r="C31" s="538"/>
      <c r="D31" s="188" t="s">
        <v>42</v>
      </c>
      <c r="E31" s="275">
        <f>IFERROR(VLOOKUP(D31,'미니게임_DATA(순)'!$A$4:$EV$50,133,0),0)</f>
        <v>132</v>
      </c>
      <c r="F31" s="275">
        <v>15</v>
      </c>
      <c r="G31" s="527"/>
      <c r="H31" s="527"/>
      <c r="I31" s="275">
        <f>IFERROR(VLOOKUP(D31,'미니게임_DATA(순)'!$A$4:$EV$50,134,0),0)</f>
        <v>166</v>
      </c>
      <c r="J31" s="275">
        <v>15</v>
      </c>
      <c r="K31" s="527"/>
      <c r="L31" s="527"/>
      <c r="M31" s="275">
        <f>IFERROR(VLOOKUP(D31,'미니게임_DATA(순)'!$A$4:$EV$50,135,0),0)</f>
        <v>179</v>
      </c>
      <c r="N31" s="275">
        <v>15</v>
      </c>
      <c r="O31" s="527"/>
      <c r="P31" s="527"/>
      <c r="Q31" s="275">
        <f t="shared" si="0"/>
        <v>477</v>
      </c>
      <c r="R31" s="276">
        <f t="shared" ref="R31:R32" si="20">Q31/3</f>
        <v>159</v>
      </c>
      <c r="S31" s="530"/>
      <c r="T31" s="533"/>
      <c r="U31" s="190">
        <f>IFERROR(R31-VLOOKUP(D31,'미니게임_DATA(순)'!$A:$FB,MATCH("rct 20g avg",'미니게임_DATA(순)'!$A$3:$FB$3,0),0),0)</f>
        <v>25.800000000000011</v>
      </c>
      <c r="W31" s="185">
        <f t="shared" si="18"/>
        <v>179</v>
      </c>
      <c r="X31" s="267">
        <f>R31</f>
        <v>159</v>
      </c>
      <c r="Y31" s="267" t="str">
        <f>IFERROR(VLOOKUP(Z31,'미니게임_DATA(순)'!$A$4:$C$45,3,0),"-")</f>
        <v>남</v>
      </c>
      <c r="Z31" s="187" t="str">
        <f t="shared" si="10"/>
        <v>권진현</v>
      </c>
    </row>
    <row r="32" spans="3:27">
      <c r="C32" s="538"/>
      <c r="D32" s="188"/>
      <c r="E32" s="387">
        <f>IFERROR(VLOOKUP(D32,'미니게임_DATA(순)'!$A$4:$EV$45,115,0),0)</f>
        <v>0</v>
      </c>
      <c r="F32" s="279"/>
      <c r="G32" s="527"/>
      <c r="H32" s="527"/>
      <c r="I32" s="387">
        <f>IFERROR(VLOOKUP(D32,'미니게임_DATA(순)'!$A$4:$EV$45,116,0),0)</f>
        <v>0</v>
      </c>
      <c r="J32" s="279"/>
      <c r="K32" s="527"/>
      <c r="L32" s="527"/>
      <c r="M32" s="387">
        <f>IFERROR(VLOOKUP(D32,'미니게임_DATA(순)'!$A$4:$EV$45,117,0),0)</f>
        <v>0</v>
      </c>
      <c r="N32" s="279"/>
      <c r="O32" s="527"/>
      <c r="P32" s="527"/>
      <c r="Q32" s="279">
        <f t="shared" si="0"/>
        <v>0</v>
      </c>
      <c r="R32" s="276">
        <f t="shared" si="20"/>
        <v>0</v>
      </c>
      <c r="S32" s="530"/>
      <c r="T32" s="533"/>
      <c r="U32" s="190">
        <f>IFERROR(R32-VLOOKUP(D32,'미니게임_DATA(순)'!$A:$FB,MATCH("rct 20g avg",'미니게임_DATA(순)'!$A$3:$FB$3,0),0),0)</f>
        <v>0</v>
      </c>
      <c r="W32" s="185"/>
      <c r="Y32" s="267" t="str">
        <f>IFERROR(VLOOKUP(Z32,'미니게임_DATA(순)'!$A$4:$C$45,3,0),"-")</f>
        <v>-</v>
      </c>
      <c r="Z32" s="187">
        <f t="shared" si="10"/>
        <v>0</v>
      </c>
    </row>
    <row r="33" spans="2:28" ht="16.5">
      <c r="C33" s="539"/>
      <c r="D33" s="434"/>
      <c r="E33" s="535">
        <f>SUMIF(E29:F31, "&gt;0")</f>
        <v>497</v>
      </c>
      <c r="F33" s="498"/>
      <c r="G33" s="528"/>
      <c r="H33" s="528"/>
      <c r="I33" s="535">
        <f>SUMIF(I29:J31, "&gt;0")</f>
        <v>514</v>
      </c>
      <c r="J33" s="498"/>
      <c r="K33" s="528"/>
      <c r="L33" s="528"/>
      <c r="M33" s="535">
        <f>SUMIF(M29:N31, "&gt;0")</f>
        <v>538</v>
      </c>
      <c r="N33" s="536"/>
      <c r="O33" s="528"/>
      <c r="P33" s="528"/>
      <c r="Q33" s="272">
        <f t="shared" si="0"/>
        <v>1549</v>
      </c>
      <c r="R33" s="196"/>
      <c r="S33" s="531"/>
      <c r="T33" s="534"/>
      <c r="U33" s="277">
        <f>IFERROR(R33-VLOOKUP(D33,'미니게임_DATA(순)'!$A:$FB,MATCH("rct 20g avg",'미니게임_DATA(순)'!$A$3:$FB$3,0),0),0)</f>
        <v>0</v>
      </c>
      <c r="V33" s="185"/>
      <c r="W33" s="185"/>
      <c r="Y33" s="267" t="str">
        <f>IFERROR(VLOOKUP(Z33,'미니게임_DATA(순)'!$A$4:$C$45,3,0),"-")</f>
        <v>-</v>
      </c>
      <c r="Z33" s="187">
        <f>D33</f>
        <v>0</v>
      </c>
      <c r="AA33" s="187">
        <f>SUM(E33,I33)</f>
        <v>1011</v>
      </c>
    </row>
    <row r="34" spans="2:28">
      <c r="C34" s="537" t="s">
        <v>149</v>
      </c>
      <c r="D34" s="180"/>
      <c r="E34" s="275">
        <f>IFERROR(VLOOKUP(D34,'미니게임_DATA(순)'!$A$4:$EV$50,124,0),0)</f>
        <v>0</v>
      </c>
      <c r="F34" s="273"/>
      <c r="G34" s="526">
        <f>RANK(E38,($E$18,$E$23,$E$28,$E$33,E$38,$E$43))</f>
        <v>5</v>
      </c>
      <c r="H34" s="526">
        <f t="shared" ref="H34" si="21">G34</f>
        <v>5</v>
      </c>
      <c r="I34" s="275">
        <f>IFERROR(VLOOKUP(D34,'미니게임_DATA(순)'!$A$4:$EV$50,125,0),0)</f>
        <v>0</v>
      </c>
      <c r="J34" s="273"/>
      <c r="K34" s="526">
        <f>RANK(I38,($I$18,$I$23,$I$28,$I$33,I$38,$I$43))</f>
        <v>5</v>
      </c>
      <c r="L34" s="526">
        <f>RANK(AA38,($AA$18,$AA$23,$AA$28,$AA$33,$AA$38,$AA$43))</f>
        <v>5</v>
      </c>
      <c r="M34" s="275">
        <f>IFERROR(VLOOKUP(D34,'미니게임_DATA(순)'!$A$4:$EV$50,126,0),0)</f>
        <v>0</v>
      </c>
      <c r="N34" s="273"/>
      <c r="O34" s="526">
        <f>RANK(M38,($M$18,$M$23,$M$28,$M$33,$M$38,$M$43))</f>
        <v>5</v>
      </c>
      <c r="P34" s="526">
        <f t="shared" ref="P34" si="22">S34</f>
        <v>5</v>
      </c>
      <c r="Q34" s="273">
        <f t="shared" si="0"/>
        <v>0</v>
      </c>
      <c r="R34" s="274">
        <f>AVERAGE(E34,I34,M34)</f>
        <v>0</v>
      </c>
      <c r="S34" s="529">
        <f>RANK(Q38,($Q$18,$Q$23,$Q$28,$Q$33,$Q$38,$Q$43))</f>
        <v>5</v>
      </c>
      <c r="T34" s="532">
        <f>MAX($Q$18,$Q$23,Q$28,Q$33,Q$38)-Q38</f>
        <v>1618</v>
      </c>
      <c r="U34" s="184">
        <f>IFERROR(R34-VLOOKUP(D34,'미니게임_DATA(순)'!$A:$FB,MATCH("rct 20g avg",'미니게임_DATA(순)'!$A$3:$FB$3,0),0),0)</f>
        <v>0</v>
      </c>
      <c r="W34" s="185">
        <f t="shared" ref="W34:W35" si="23">MAX(E34,I34,M34)</f>
        <v>0</v>
      </c>
      <c r="X34" s="267">
        <f>R34</f>
        <v>0</v>
      </c>
      <c r="Y34" s="267" t="str">
        <f>IFERROR(VLOOKUP(Z34,'미니게임_DATA(순)'!$A$4:$C$45,3,0),"-")</f>
        <v>-</v>
      </c>
      <c r="Z34" s="187">
        <f t="shared" ref="Z34:Z37" si="24">D34</f>
        <v>0</v>
      </c>
    </row>
    <row r="35" spans="2:28" s="172" customFormat="1">
      <c r="B35" s="169"/>
      <c r="C35" s="538"/>
      <c r="D35" s="188"/>
      <c r="E35" s="275">
        <f>IFERROR(VLOOKUP(D35,'미니게임_DATA(순)'!$A$4:$EV$50,124,0),0)</f>
        <v>0</v>
      </c>
      <c r="F35" s="275"/>
      <c r="G35" s="527"/>
      <c r="H35" s="527"/>
      <c r="I35" s="275">
        <f>IFERROR(VLOOKUP(D35,'미니게임_DATA(순)'!$A$4:$EV$50,125,0),0)</f>
        <v>0</v>
      </c>
      <c r="J35" s="275"/>
      <c r="K35" s="527"/>
      <c r="L35" s="527"/>
      <c r="M35" s="275">
        <f>IFERROR(VLOOKUP(D35,'미니게임_DATA(순)'!$A$4:$EV$50,126,0),0)</f>
        <v>0</v>
      </c>
      <c r="N35" s="275"/>
      <c r="O35" s="527"/>
      <c r="P35" s="527"/>
      <c r="Q35" s="275">
        <f t="shared" si="0"/>
        <v>0</v>
      </c>
      <c r="R35" s="300">
        <f t="shared" ref="R35" si="25">AVERAGE(E35,I35,M35)</f>
        <v>0</v>
      </c>
      <c r="S35" s="530"/>
      <c r="T35" s="533"/>
      <c r="U35" s="190">
        <f>IFERROR(R35-VLOOKUP(D35,'미니게임_DATA(순)'!$A:$FB,MATCH("rct 20g avg",'미니게임_DATA(순)'!$A$3:$FB$3,0),0),0)</f>
        <v>0</v>
      </c>
      <c r="W35" s="185">
        <f t="shared" si="23"/>
        <v>0</v>
      </c>
      <c r="X35" s="267">
        <f>R35</f>
        <v>0</v>
      </c>
      <c r="Y35" s="267" t="str">
        <f>IFERROR(VLOOKUP(Z35,'미니게임_DATA(순)'!$A$4:$C$45,3,0),"-")</f>
        <v>-</v>
      </c>
      <c r="Z35" s="187">
        <f t="shared" si="24"/>
        <v>0</v>
      </c>
      <c r="AA35" s="169"/>
      <c r="AB35" s="169"/>
    </row>
    <row r="36" spans="2:28" s="172" customFormat="1">
      <c r="B36" s="169"/>
      <c r="C36" s="538"/>
      <c r="D36" s="188"/>
      <c r="E36" s="275">
        <f>IFERROR(VLOOKUP(D36,'미니게임_DATA(순)'!$A$4:$EV$50,124,0),0)</f>
        <v>0</v>
      </c>
      <c r="F36" s="275"/>
      <c r="G36" s="527"/>
      <c r="H36" s="527"/>
      <c r="I36" s="275">
        <f>IFERROR(VLOOKUP(D36,'미니게임_DATA(순)'!$A$4:$EV$50,134,0),0)</f>
        <v>0</v>
      </c>
      <c r="J36" s="275"/>
      <c r="K36" s="527"/>
      <c r="L36" s="527"/>
      <c r="M36" s="275">
        <f>IFERROR(VLOOKUP(D36,'미니게임_DATA(순)'!$A$4:$EV$50,126,0),0)</f>
        <v>0</v>
      </c>
      <c r="N36" s="275"/>
      <c r="O36" s="527"/>
      <c r="P36" s="527"/>
      <c r="Q36" s="275">
        <f t="shared" si="0"/>
        <v>0</v>
      </c>
      <c r="R36" s="276">
        <f t="shared" ref="R36:R37" si="26">Q36/3</f>
        <v>0</v>
      </c>
      <c r="S36" s="530"/>
      <c r="T36" s="533"/>
      <c r="U36" s="190">
        <f>IFERROR(R36-VLOOKUP(D36,'미니게임_DATA(순)'!$A:$FB,MATCH("rct 20g avg",'미니게임_DATA(순)'!$A$3:$FB$3,0),0),0)</f>
        <v>0</v>
      </c>
      <c r="W36" s="185"/>
      <c r="X36" s="267">
        <f>R36</f>
        <v>0</v>
      </c>
      <c r="Y36" s="267" t="str">
        <f>IFERROR(VLOOKUP(Z36,'미니게임_DATA(순)'!$A$4:$C$45,3,0),"-")</f>
        <v>-</v>
      </c>
      <c r="Z36" s="187">
        <f t="shared" si="24"/>
        <v>0</v>
      </c>
      <c r="AA36" s="169"/>
      <c r="AB36" s="169"/>
    </row>
    <row r="37" spans="2:28">
      <c r="C37" s="538"/>
      <c r="D37" s="188"/>
      <c r="E37" s="279"/>
      <c r="F37" s="279"/>
      <c r="G37" s="527"/>
      <c r="H37" s="527"/>
      <c r="I37" s="279"/>
      <c r="J37" s="279"/>
      <c r="K37" s="527"/>
      <c r="L37" s="527"/>
      <c r="M37" s="279"/>
      <c r="N37" s="279"/>
      <c r="O37" s="527"/>
      <c r="P37" s="527"/>
      <c r="Q37" s="279">
        <f t="shared" si="0"/>
        <v>0</v>
      </c>
      <c r="R37" s="276">
        <f t="shared" si="26"/>
        <v>0</v>
      </c>
      <c r="S37" s="530"/>
      <c r="T37" s="533"/>
      <c r="U37" s="190">
        <f>IFERROR(R37-VLOOKUP(D37,'미니게임_DATA(순)'!$A:$FB,MATCH("rct 20g avg",'미니게임_DATA(순)'!$A$3:$FB$3,0),0),0)</f>
        <v>0</v>
      </c>
      <c r="W37" s="185"/>
      <c r="Y37" s="267" t="str">
        <f>IFERROR(VLOOKUP(Z37,'미니게임_DATA(순)'!$A$4:$C$45,3,0),"-")</f>
        <v>-</v>
      </c>
      <c r="Z37" s="187">
        <f t="shared" si="24"/>
        <v>0</v>
      </c>
    </row>
    <row r="38" spans="2:28" ht="16.5">
      <c r="C38" s="539"/>
      <c r="D38" s="434"/>
      <c r="E38" s="535">
        <f>SUMIF(E34:F36, "&gt;0")</f>
        <v>0</v>
      </c>
      <c r="F38" s="498"/>
      <c r="G38" s="528"/>
      <c r="H38" s="528"/>
      <c r="I38" s="535">
        <f>SUMIF(I34:J36, "&gt;0")</f>
        <v>0</v>
      </c>
      <c r="J38" s="498"/>
      <c r="K38" s="528"/>
      <c r="L38" s="528"/>
      <c r="M38" s="535">
        <f>SUMIF(M34:N36, "&gt;0")</f>
        <v>0</v>
      </c>
      <c r="N38" s="536"/>
      <c r="O38" s="528"/>
      <c r="P38" s="528"/>
      <c r="Q38" s="272">
        <f t="shared" si="0"/>
        <v>0</v>
      </c>
      <c r="R38" s="196"/>
      <c r="S38" s="531"/>
      <c r="T38" s="534"/>
      <c r="U38" s="277">
        <f>IFERROR(R38-VLOOKUP(D38,'미니게임_DATA(순)'!$A:$FB,MATCH("rct 20g avg",'미니게임_DATA(순)'!$A$3:$FB$3,0),0),0)</f>
        <v>0</v>
      </c>
      <c r="V38" s="185"/>
      <c r="W38" s="185"/>
      <c r="Y38" s="267" t="str">
        <f>IFERROR(VLOOKUP(Z38,'미니게임_DATA(순)'!$A$4:$C$45,3,0),"-")</f>
        <v>-</v>
      </c>
      <c r="Z38" s="187">
        <f>D38</f>
        <v>0</v>
      </c>
      <c r="AA38" s="187">
        <f>SUM(E38,I38)</f>
        <v>0</v>
      </c>
    </row>
    <row r="39" spans="2:28">
      <c r="C39" s="537" t="s">
        <v>373</v>
      </c>
      <c r="D39" s="180"/>
      <c r="E39" s="275">
        <f>IFERROR(VLOOKUP(D39,'미니게임_DATA(순)'!$A$4:$EV$50,124,0),0)</f>
        <v>0</v>
      </c>
      <c r="F39" s="273"/>
      <c r="G39" s="526">
        <f>RANK(E43,($E$18,$E$23,$E$28,$E$33,E$38,$E$43))</f>
        <v>5</v>
      </c>
      <c r="H39" s="526">
        <f t="shared" ref="H39" si="27">G39</f>
        <v>5</v>
      </c>
      <c r="I39" s="275">
        <f>IFERROR(VLOOKUP(D39,'미니게임_DATA(순)'!$A$4:$EV$50,125,0),0)</f>
        <v>0</v>
      </c>
      <c r="J39" s="273"/>
      <c r="K39" s="526">
        <f>RANK(I43,($I$18,$I$23,$I$28,$I$33,I$38,$I$43))</f>
        <v>5</v>
      </c>
      <c r="L39" s="526">
        <f>RANK(AA43,($AA$18,$AA$23,$AA$28,$AA$33,$AA$38,$AA$43))</f>
        <v>5</v>
      </c>
      <c r="M39" s="275">
        <f>IFERROR(VLOOKUP(D39,'미니게임_DATA(순)'!$A$4:$EV$50,126,0),0)</f>
        <v>0</v>
      </c>
      <c r="N39" s="273"/>
      <c r="O39" s="526">
        <f>RANK(M43,($M$18,$M$23,$M$28,$M$33,$M$38,$M$43))</f>
        <v>5</v>
      </c>
      <c r="P39" s="526">
        <f t="shared" ref="P39" si="28">S39</f>
        <v>5</v>
      </c>
      <c r="Q39" s="273">
        <f t="shared" si="0"/>
        <v>0</v>
      </c>
      <c r="R39" s="274">
        <f>AVERAGE(E39,I39,M39)</f>
        <v>0</v>
      </c>
      <c r="S39" s="529">
        <f>RANK(Q43,($Q$18,$Q$23,$Q$28,$Q$33,$Q$38,$Q$43))</f>
        <v>5</v>
      </c>
      <c r="T39" s="532">
        <f>MAX($Q$18,$Q$23,Q$28,Q$33,Q$38)-Q43</f>
        <v>1618</v>
      </c>
      <c r="U39" s="184">
        <f>IFERROR(R39-VLOOKUP(D39,'미니게임_DATA(순)'!$A:$FB,MATCH("rct 20g avg",'미니게임_DATA(순)'!$A$3:$FB$3,0),0),0)</f>
        <v>0</v>
      </c>
      <c r="W39" s="185">
        <f t="shared" ref="W39:W41" si="29">MAX(E39,I39,M39)</f>
        <v>0</v>
      </c>
      <c r="X39" s="267">
        <f>R39</f>
        <v>0</v>
      </c>
      <c r="Y39" s="267" t="str">
        <f>IFERROR(VLOOKUP(Z39,'미니게임_DATA(순)'!$A$4:$C$45,3,0),"-")</f>
        <v>-</v>
      </c>
      <c r="Z39" s="187">
        <f t="shared" ref="Z39:Z42" si="30">D39</f>
        <v>0</v>
      </c>
    </row>
    <row r="40" spans="2:28">
      <c r="C40" s="538"/>
      <c r="D40" s="188"/>
      <c r="E40" s="275">
        <f>IFERROR(VLOOKUP(D40,'미니게임_DATA(순)'!$A$4:$EV$50,124,0),0)</f>
        <v>0</v>
      </c>
      <c r="F40" s="275"/>
      <c r="G40" s="527"/>
      <c r="H40" s="527"/>
      <c r="I40" s="275">
        <f>IFERROR(VLOOKUP(D40,'미니게임_DATA(순)'!$A$4:$EV$50,125,0),0)</f>
        <v>0</v>
      </c>
      <c r="J40" s="275"/>
      <c r="K40" s="527"/>
      <c r="L40" s="527"/>
      <c r="M40" s="275">
        <f>IFERROR(VLOOKUP(D40,'미니게임_DATA(순)'!$A$4:$EV$50,126,0),0)</f>
        <v>0</v>
      </c>
      <c r="N40" s="275"/>
      <c r="O40" s="527"/>
      <c r="P40" s="527"/>
      <c r="Q40" s="275">
        <f t="shared" si="0"/>
        <v>0</v>
      </c>
      <c r="R40" s="300">
        <f t="shared" ref="R40" si="31">AVERAGE(E40,I40,M40)</f>
        <v>0</v>
      </c>
      <c r="S40" s="530"/>
      <c r="T40" s="533"/>
      <c r="U40" s="190">
        <f>IFERROR(R40-VLOOKUP(D40,'미니게임_DATA(순)'!$A:$FB,MATCH("rct 20g avg",'미니게임_DATA(순)'!$A$3:$FB$3,0),0),0)</f>
        <v>0</v>
      </c>
      <c r="W40" s="185">
        <f t="shared" si="29"/>
        <v>0</v>
      </c>
      <c r="X40" s="267">
        <f>R40</f>
        <v>0</v>
      </c>
      <c r="Y40" s="267" t="str">
        <f>IFERROR(VLOOKUP(Z40,'미니게임_DATA(순)'!$A$4:$C$45,3,0),"-")</f>
        <v>-</v>
      </c>
      <c r="Z40" s="187">
        <f t="shared" si="30"/>
        <v>0</v>
      </c>
    </row>
    <row r="41" spans="2:28">
      <c r="C41" s="538"/>
      <c r="D41" s="188"/>
      <c r="E41" s="275">
        <f>IFERROR(VLOOKUP(D41,'미니게임_DATA(순)'!$A$4:$EV$50,124,0),0)</f>
        <v>0</v>
      </c>
      <c r="F41" s="275"/>
      <c r="G41" s="527"/>
      <c r="H41" s="527"/>
      <c r="I41" s="275">
        <f>IFERROR(VLOOKUP(D41,'미니게임_DATA(순)'!$A$4:$EV$50,125,0),0)</f>
        <v>0</v>
      </c>
      <c r="J41" s="275"/>
      <c r="K41" s="527"/>
      <c r="L41" s="527"/>
      <c r="M41" s="275">
        <f>IFERROR(VLOOKUP(D41,'미니게임_DATA(순)'!$A$4:$EV$50,126,0),0)</f>
        <v>0</v>
      </c>
      <c r="N41" s="275"/>
      <c r="O41" s="527"/>
      <c r="P41" s="527"/>
      <c r="Q41" s="275">
        <f t="shared" si="0"/>
        <v>0</v>
      </c>
      <c r="R41" s="276">
        <f t="shared" ref="R41:R42" si="32">Q41/3</f>
        <v>0</v>
      </c>
      <c r="S41" s="530"/>
      <c r="T41" s="533"/>
      <c r="U41" s="190">
        <f>IFERROR(R41-VLOOKUP(D41,'미니게임_DATA(순)'!$A:$FB,MATCH("rct 20g avg",'미니게임_DATA(순)'!$A$3:$FB$3,0),0),0)</f>
        <v>0</v>
      </c>
      <c r="W41" s="185">
        <f t="shared" si="29"/>
        <v>0</v>
      </c>
      <c r="X41" s="267">
        <f>R41</f>
        <v>0</v>
      </c>
      <c r="Y41" s="267" t="str">
        <f>IFERROR(VLOOKUP(Z41,'미니게임_DATA(순)'!$A$4:$C$45,3,0),"-")</f>
        <v>-</v>
      </c>
      <c r="Z41" s="187">
        <f t="shared" si="30"/>
        <v>0</v>
      </c>
    </row>
    <row r="42" spans="2:28">
      <c r="C42" s="538"/>
      <c r="D42" s="188"/>
      <c r="E42" s="279"/>
      <c r="F42" s="279"/>
      <c r="G42" s="527"/>
      <c r="H42" s="527"/>
      <c r="I42" s="279"/>
      <c r="J42" s="279"/>
      <c r="K42" s="527"/>
      <c r="L42" s="527"/>
      <c r="M42" s="279"/>
      <c r="N42" s="279"/>
      <c r="O42" s="527"/>
      <c r="P42" s="527"/>
      <c r="Q42" s="279">
        <f t="shared" si="0"/>
        <v>0</v>
      </c>
      <c r="R42" s="276">
        <f t="shared" si="32"/>
        <v>0</v>
      </c>
      <c r="S42" s="530"/>
      <c r="T42" s="533"/>
      <c r="U42" s="190">
        <f>IFERROR(R42-VLOOKUP(D42,'미니게임_DATA(순)'!$A:$FB,MATCH("rct 20g avg",'미니게임_DATA(순)'!$A$3:$FB$3,0),0),0)</f>
        <v>0</v>
      </c>
      <c r="W42" s="185"/>
      <c r="Y42" s="267" t="str">
        <f>IFERROR(VLOOKUP(Z42,'미니게임_DATA(순)'!$A$4:$C$45,3,0),"-")</f>
        <v>-</v>
      </c>
      <c r="Z42" s="187">
        <f t="shared" si="30"/>
        <v>0</v>
      </c>
    </row>
    <row r="43" spans="2:28" ht="16.5">
      <c r="C43" s="539"/>
      <c r="D43" s="434"/>
      <c r="E43" s="535">
        <f>SUMIF(E39:F41, "&gt;0")</f>
        <v>0</v>
      </c>
      <c r="F43" s="498"/>
      <c r="G43" s="528"/>
      <c r="H43" s="528"/>
      <c r="I43" s="535">
        <f>SUMIF(I39:J41, "&gt;0")</f>
        <v>0</v>
      </c>
      <c r="J43" s="498"/>
      <c r="K43" s="528"/>
      <c r="L43" s="528"/>
      <c r="M43" s="535">
        <f>SUMIF(M39:N41, "&gt;0")</f>
        <v>0</v>
      </c>
      <c r="N43" s="536"/>
      <c r="O43" s="528"/>
      <c r="P43" s="528"/>
      <c r="Q43" s="272">
        <f t="shared" si="0"/>
        <v>0</v>
      </c>
      <c r="R43" s="196"/>
      <c r="S43" s="531"/>
      <c r="T43" s="534"/>
      <c r="U43" s="277">
        <f>IFERROR(R43-VLOOKUP(D43,'미니게임_DATA(순)'!$A:$FB,MATCH("rct 20g avg",'미니게임_DATA(순)'!$A$3:$FB$3,0),0),0)</f>
        <v>0</v>
      </c>
      <c r="W43" s="185"/>
      <c r="Y43" s="267" t="str">
        <f>IFERROR(VLOOKUP(Z43,'미니게임_DATA(순)'!$A$4:$C$45,3,0),"-")</f>
        <v>-</v>
      </c>
      <c r="Z43" s="187">
        <f>D43</f>
        <v>0</v>
      </c>
      <c r="AA43" s="187">
        <f>SUM(E43,I43)</f>
        <v>0</v>
      </c>
    </row>
  </sheetData>
  <mergeCells count="89">
    <mergeCell ref="P39:P43"/>
    <mergeCell ref="S39:S43"/>
    <mergeCell ref="T39:T43"/>
    <mergeCell ref="E43:F43"/>
    <mergeCell ref="I43:J43"/>
    <mergeCell ref="M43:N43"/>
    <mergeCell ref="O39:O43"/>
    <mergeCell ref="C39:C43"/>
    <mergeCell ref="G39:G43"/>
    <mergeCell ref="H39:H43"/>
    <mergeCell ref="K39:K43"/>
    <mergeCell ref="L39:L43"/>
    <mergeCell ref="P34:P38"/>
    <mergeCell ref="S34:S38"/>
    <mergeCell ref="T34:T38"/>
    <mergeCell ref="E38:F38"/>
    <mergeCell ref="I38:J38"/>
    <mergeCell ref="M38:N38"/>
    <mergeCell ref="O34:O38"/>
    <mergeCell ref="C34:C38"/>
    <mergeCell ref="G34:G38"/>
    <mergeCell ref="H34:H38"/>
    <mergeCell ref="K34:K38"/>
    <mergeCell ref="L34:L38"/>
    <mergeCell ref="P29:P33"/>
    <mergeCell ref="S29:S33"/>
    <mergeCell ref="T29:T33"/>
    <mergeCell ref="E33:F33"/>
    <mergeCell ref="I33:J33"/>
    <mergeCell ref="M33:N33"/>
    <mergeCell ref="O29:O33"/>
    <mergeCell ref="C29:C33"/>
    <mergeCell ref="G29:G33"/>
    <mergeCell ref="H29:H33"/>
    <mergeCell ref="K29:K33"/>
    <mergeCell ref="L29:L33"/>
    <mergeCell ref="P24:P28"/>
    <mergeCell ref="S24:S28"/>
    <mergeCell ref="T24:T28"/>
    <mergeCell ref="E28:F28"/>
    <mergeCell ref="I28:J28"/>
    <mergeCell ref="M28:N28"/>
    <mergeCell ref="O24:O28"/>
    <mergeCell ref="C24:C28"/>
    <mergeCell ref="G24:G28"/>
    <mergeCell ref="H24:H28"/>
    <mergeCell ref="K24:K28"/>
    <mergeCell ref="L24:L28"/>
    <mergeCell ref="P19:P23"/>
    <mergeCell ref="S19:S23"/>
    <mergeCell ref="T19:T23"/>
    <mergeCell ref="E23:F23"/>
    <mergeCell ref="I23:J23"/>
    <mergeCell ref="M23:N23"/>
    <mergeCell ref="O19:O23"/>
    <mergeCell ref="C19:C23"/>
    <mergeCell ref="G19:G23"/>
    <mergeCell ref="H19:H23"/>
    <mergeCell ref="K19:K23"/>
    <mergeCell ref="L19:L23"/>
    <mergeCell ref="P14:P18"/>
    <mergeCell ref="S14:S18"/>
    <mergeCell ref="T14:T18"/>
    <mergeCell ref="E18:F18"/>
    <mergeCell ref="I18:J18"/>
    <mergeCell ref="M18:N18"/>
    <mergeCell ref="U11:U13"/>
    <mergeCell ref="E12:H12"/>
    <mergeCell ref="I12:L12"/>
    <mergeCell ref="M12:P12"/>
    <mergeCell ref="C14:C18"/>
    <mergeCell ref="G14:G18"/>
    <mergeCell ref="H14:H18"/>
    <mergeCell ref="K14:K18"/>
    <mergeCell ref="L14:L18"/>
    <mergeCell ref="O14:O18"/>
    <mergeCell ref="C11:C13"/>
    <mergeCell ref="D11:D13"/>
    <mergeCell ref="E11:P11"/>
    <mergeCell ref="Q11:Q13"/>
    <mergeCell ref="R11:R13"/>
    <mergeCell ref="S11:T12"/>
    <mergeCell ref="B2:B3"/>
    <mergeCell ref="B4:B5"/>
    <mergeCell ref="B6:B9"/>
    <mergeCell ref="D6:E6"/>
    <mergeCell ref="D7:E7"/>
    <mergeCell ref="D8:E8"/>
    <mergeCell ref="D9:E9"/>
  </mergeCells>
  <phoneticPr fontId="2" type="noConversion"/>
  <conditionalFormatting sqref="G44:H1048576 O44:P1048576 K44:L1048576 O12:P13 G1:H13 K1:L13 O1:P10">
    <cfRule type="cellIs" dxfId="439" priority="51" operator="equal">
      <formula>1</formula>
    </cfRule>
  </conditionalFormatting>
  <conditionalFormatting sqref="P14:P33">
    <cfRule type="cellIs" dxfId="438" priority="49" operator="equal">
      <formula>1</formula>
    </cfRule>
  </conditionalFormatting>
  <conditionalFormatting sqref="G14:H14 H15:H33">
    <cfRule type="cellIs" dxfId="437" priority="50" operator="equal">
      <formula>1</formula>
    </cfRule>
  </conditionalFormatting>
  <conditionalFormatting sqref="K14:L14 L15:L18">
    <cfRule type="cellIs" dxfId="436" priority="48" operator="equal">
      <formula>1</formula>
    </cfRule>
  </conditionalFormatting>
  <conditionalFormatting sqref="O14">
    <cfRule type="cellIs" dxfId="435" priority="47" operator="equal">
      <formula>1</formula>
    </cfRule>
  </conditionalFormatting>
  <conditionalFormatting sqref="R5">
    <cfRule type="cellIs" dxfId="434" priority="46" operator="greaterThan">
      <formula>200</formula>
    </cfRule>
  </conditionalFormatting>
  <conditionalFormatting sqref="E2:E5">
    <cfRule type="cellIs" dxfId="433" priority="45" operator="greaterThan">
      <formula>199.5</formula>
    </cfRule>
  </conditionalFormatting>
  <conditionalFormatting sqref="E14:E17 E19:E22 E24:E27 E29:E31 I14:I17 I19:I22 I24:I27 I29:I32 M14:M17 M19:M22 M24:M27 M29:M32">
    <cfRule type="cellIs" dxfId="432" priority="44" operator="greaterThan">
      <formula>199.5</formula>
    </cfRule>
  </conditionalFormatting>
  <conditionalFormatting sqref="H34:H38">
    <cfRule type="cellIs" dxfId="431" priority="43" operator="equal">
      <formula>1</formula>
    </cfRule>
  </conditionalFormatting>
  <conditionalFormatting sqref="P34:P38">
    <cfRule type="cellIs" dxfId="430" priority="42" operator="equal">
      <formula>1</formula>
    </cfRule>
  </conditionalFormatting>
  <conditionalFormatting sqref="P39:P43">
    <cfRule type="cellIs" dxfId="429" priority="41" operator="equal">
      <formula>1</formula>
    </cfRule>
  </conditionalFormatting>
  <conditionalFormatting sqref="H39:H43">
    <cfRule type="cellIs" dxfId="428" priority="40" operator="equal">
      <formula>1</formula>
    </cfRule>
  </conditionalFormatting>
  <conditionalFormatting sqref="G19">
    <cfRule type="cellIs" dxfId="427" priority="39" operator="equal">
      <formula>1</formula>
    </cfRule>
  </conditionalFormatting>
  <conditionalFormatting sqref="G24">
    <cfRule type="cellIs" dxfId="426" priority="38" operator="equal">
      <formula>1</formula>
    </cfRule>
  </conditionalFormatting>
  <conditionalFormatting sqref="G29">
    <cfRule type="cellIs" dxfId="425" priority="37" operator="equal">
      <formula>1</formula>
    </cfRule>
  </conditionalFormatting>
  <conditionalFormatting sqref="G34">
    <cfRule type="cellIs" dxfId="424" priority="36" operator="equal">
      <formula>1</formula>
    </cfRule>
  </conditionalFormatting>
  <conditionalFormatting sqref="G39">
    <cfRule type="cellIs" dxfId="423" priority="35" operator="equal">
      <formula>1</formula>
    </cfRule>
  </conditionalFormatting>
  <conditionalFormatting sqref="K19">
    <cfRule type="cellIs" dxfId="422" priority="34" operator="equal">
      <formula>1</formula>
    </cfRule>
  </conditionalFormatting>
  <conditionalFormatting sqref="K24">
    <cfRule type="cellIs" dxfId="421" priority="33" operator="equal">
      <formula>1</formula>
    </cfRule>
  </conditionalFormatting>
  <conditionalFormatting sqref="K29">
    <cfRule type="cellIs" dxfId="420" priority="32" operator="equal">
      <formula>1</formula>
    </cfRule>
  </conditionalFormatting>
  <conditionalFormatting sqref="K34">
    <cfRule type="cellIs" dxfId="419" priority="31" operator="equal">
      <formula>1</formula>
    </cfRule>
  </conditionalFormatting>
  <conditionalFormatting sqref="K39">
    <cfRule type="cellIs" dxfId="418" priority="30" operator="equal">
      <formula>1</formula>
    </cfRule>
  </conditionalFormatting>
  <conditionalFormatting sqref="L19:L23">
    <cfRule type="cellIs" dxfId="417" priority="29" operator="equal">
      <formula>1</formula>
    </cfRule>
  </conditionalFormatting>
  <conditionalFormatting sqref="L24:L28">
    <cfRule type="cellIs" dxfId="416" priority="28" operator="equal">
      <formula>1</formula>
    </cfRule>
  </conditionalFormatting>
  <conditionalFormatting sqref="L29:L33">
    <cfRule type="cellIs" dxfId="415" priority="27" operator="equal">
      <formula>1</formula>
    </cfRule>
  </conditionalFormatting>
  <conditionalFormatting sqref="L34:L38">
    <cfRule type="cellIs" dxfId="414" priority="26" operator="equal">
      <formula>1</formula>
    </cfRule>
  </conditionalFormatting>
  <conditionalFormatting sqref="L39:L43">
    <cfRule type="cellIs" dxfId="413" priority="25" operator="equal">
      <formula>1</formula>
    </cfRule>
  </conditionalFormatting>
  <conditionalFormatting sqref="O19">
    <cfRule type="cellIs" dxfId="412" priority="24" operator="equal">
      <formula>1</formula>
    </cfRule>
  </conditionalFormatting>
  <conditionalFormatting sqref="O24">
    <cfRule type="cellIs" dxfId="411" priority="23" operator="equal">
      <formula>1</formula>
    </cfRule>
  </conditionalFormatting>
  <conditionalFormatting sqref="O29">
    <cfRule type="cellIs" dxfId="410" priority="22" operator="equal">
      <formula>1</formula>
    </cfRule>
  </conditionalFormatting>
  <conditionalFormatting sqref="O34">
    <cfRule type="cellIs" dxfId="409" priority="21" operator="equal">
      <formula>1</formula>
    </cfRule>
  </conditionalFormatting>
  <conditionalFormatting sqref="O39">
    <cfRule type="cellIs" dxfId="408" priority="20" operator="equal">
      <formula>1</formula>
    </cfRule>
  </conditionalFormatting>
  <conditionalFormatting sqref="E34">
    <cfRule type="cellIs" dxfId="407" priority="19" operator="greaterThan">
      <formula>199.5</formula>
    </cfRule>
  </conditionalFormatting>
  <conditionalFormatting sqref="E35">
    <cfRule type="cellIs" dxfId="406" priority="18" operator="greaterThan">
      <formula>199.5</formula>
    </cfRule>
  </conditionalFormatting>
  <conditionalFormatting sqref="E36">
    <cfRule type="cellIs" dxfId="405" priority="17" operator="greaterThan">
      <formula>199.5</formula>
    </cfRule>
  </conditionalFormatting>
  <conditionalFormatting sqref="E39">
    <cfRule type="cellIs" dxfId="404" priority="16" operator="greaterThan">
      <formula>199.5</formula>
    </cfRule>
  </conditionalFormatting>
  <conditionalFormatting sqref="E40">
    <cfRule type="cellIs" dxfId="403" priority="15" operator="greaterThan">
      <formula>199.5</formula>
    </cfRule>
  </conditionalFormatting>
  <conditionalFormatting sqref="E41">
    <cfRule type="cellIs" dxfId="402" priority="14" operator="greaterThan">
      <formula>199.5</formula>
    </cfRule>
  </conditionalFormatting>
  <conditionalFormatting sqref="I34">
    <cfRule type="cellIs" dxfId="401" priority="13" operator="greaterThan">
      <formula>199.5</formula>
    </cfRule>
  </conditionalFormatting>
  <conditionalFormatting sqref="I35">
    <cfRule type="cellIs" dxfId="400" priority="12" operator="greaterThan">
      <formula>199.5</formula>
    </cfRule>
  </conditionalFormatting>
  <conditionalFormatting sqref="I39">
    <cfRule type="cellIs" dxfId="399" priority="10" operator="greaterThan">
      <formula>199.5</formula>
    </cfRule>
  </conditionalFormatting>
  <conditionalFormatting sqref="I40">
    <cfRule type="cellIs" dxfId="398" priority="9" operator="greaterThan">
      <formula>199.5</formula>
    </cfRule>
  </conditionalFormatting>
  <conditionalFormatting sqref="I41">
    <cfRule type="cellIs" dxfId="397" priority="8" operator="greaterThan">
      <formula>199.5</formula>
    </cfRule>
  </conditionalFormatting>
  <conditionalFormatting sqref="M34">
    <cfRule type="cellIs" dxfId="396" priority="7" operator="greaterThan">
      <formula>199.5</formula>
    </cfRule>
  </conditionalFormatting>
  <conditionalFormatting sqref="M35">
    <cfRule type="cellIs" dxfId="395" priority="6" operator="greaterThan">
      <formula>199.5</formula>
    </cfRule>
  </conditionalFormatting>
  <conditionalFormatting sqref="M36">
    <cfRule type="cellIs" dxfId="394" priority="5" operator="greaterThan">
      <formula>199.5</formula>
    </cfRule>
  </conditionalFormatting>
  <conditionalFormatting sqref="M39">
    <cfRule type="cellIs" dxfId="393" priority="4" operator="greaterThan">
      <formula>199.5</formula>
    </cfRule>
  </conditionalFormatting>
  <conditionalFormatting sqref="M40">
    <cfRule type="cellIs" dxfId="392" priority="3" operator="greaterThan">
      <formula>199.5</formula>
    </cfRule>
  </conditionalFormatting>
  <conditionalFormatting sqref="M41">
    <cfRule type="cellIs" dxfId="391" priority="2" operator="greaterThan">
      <formula>199.5</formula>
    </cfRule>
  </conditionalFormatting>
  <conditionalFormatting sqref="I36">
    <cfRule type="cellIs" dxfId="390" priority="1" operator="greaterThan">
      <formula>199.5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43"/>
  <sheetViews>
    <sheetView showGridLines="0" zoomScale="85" zoomScaleNormal="85" workbookViewId="0">
      <selection activeCell="AG29" sqref="AG29"/>
    </sheetView>
  </sheetViews>
  <sheetFormatPr defaultColWidth="9" defaultRowHeight="13.5"/>
  <cols>
    <col min="1" max="5" width="9" style="169"/>
    <col min="6" max="8" width="5.375" style="169" customWidth="1"/>
    <col min="9" max="9" width="9" style="169"/>
    <col min="10" max="12" width="5.375" style="169" customWidth="1"/>
    <col min="13" max="13" width="9" style="169"/>
    <col min="14" max="16" width="5.375" style="169" customWidth="1"/>
    <col min="17" max="17" width="7.375" style="170" customWidth="1"/>
    <col min="18" max="18" width="7.375" style="171" customWidth="1"/>
    <col min="19" max="20" width="7.375" style="169" customWidth="1"/>
    <col min="21" max="21" width="9" style="169"/>
    <col min="22" max="23" width="9" style="172" hidden="1" customWidth="1"/>
    <col min="24" max="25" width="9" style="267" hidden="1" customWidth="1"/>
    <col min="26" max="28" width="9" style="169" hidden="1" customWidth="1"/>
    <col min="29" max="16384" width="9" style="169"/>
  </cols>
  <sheetData>
    <row r="2" spans="2:35">
      <c r="B2" s="550" t="s">
        <v>154</v>
      </c>
      <c r="C2" s="166" t="s">
        <v>156</v>
      </c>
      <c r="D2" s="167" t="str">
        <f>VLOOKUP(E2,W14:Z37,4,0)</f>
        <v>조문수</v>
      </c>
      <c r="E2" s="198">
        <f t="array" ref="E2">MAX(IF(Y14:Y38="남",W14:W38))</f>
        <v>235</v>
      </c>
      <c r="F2" s="268"/>
    </row>
    <row r="3" spans="2:35">
      <c r="B3" s="551"/>
      <c r="C3" s="166" t="s">
        <v>157</v>
      </c>
      <c r="D3" s="167" t="str">
        <f>VLOOKUP(E3,W15:Z38,4,0)</f>
        <v>오수인</v>
      </c>
      <c r="E3" s="198">
        <f t="array" ref="E3">MAX(IF(Y15:Y39="여",W15:W39))</f>
        <v>193</v>
      </c>
      <c r="F3" s="268"/>
    </row>
    <row r="4" spans="2:35">
      <c r="B4" s="550" t="s">
        <v>158</v>
      </c>
      <c r="C4" s="166" t="s">
        <v>156</v>
      </c>
      <c r="D4" s="167" t="str">
        <f>VLOOKUP(E4,X14:Z38,3,0)</f>
        <v>조문수</v>
      </c>
      <c r="E4" s="168">
        <f t="array" ref="E4">MAX(IF(Y14:Y38="남",X14:X38))</f>
        <v>212</v>
      </c>
      <c r="F4" s="268"/>
    </row>
    <row r="5" spans="2:35">
      <c r="B5" s="551"/>
      <c r="C5" s="166" t="s">
        <v>157</v>
      </c>
      <c r="D5" s="167" t="str">
        <f>VLOOKUP(E5,X15:Z39,3,0)</f>
        <v>오수인</v>
      </c>
      <c r="E5" s="168">
        <f t="array" ref="E5">MAX(IF(Y14:Y38="여",X14:X38))</f>
        <v>168.33333333333334</v>
      </c>
      <c r="F5" s="268"/>
    </row>
    <row r="6" spans="2:35" ht="16.5">
      <c r="B6" s="550" t="s">
        <v>224</v>
      </c>
      <c r="C6" s="235" t="s">
        <v>154</v>
      </c>
      <c r="D6" s="554" t="s">
        <v>8</v>
      </c>
      <c r="E6" s="472"/>
      <c r="F6" s="269"/>
    </row>
    <row r="7" spans="2:35" ht="16.5">
      <c r="B7" s="552"/>
      <c r="C7" s="235" t="s">
        <v>226</v>
      </c>
      <c r="D7" s="554" t="s">
        <v>8</v>
      </c>
      <c r="E7" s="472"/>
      <c r="F7" s="269"/>
    </row>
    <row r="8" spans="2:35" ht="16.5">
      <c r="B8" s="552"/>
      <c r="C8" s="235" t="s">
        <v>88</v>
      </c>
      <c r="D8" s="554"/>
      <c r="E8" s="498"/>
      <c r="F8" s="270"/>
    </row>
    <row r="9" spans="2:35" ht="16.5">
      <c r="B9" s="553"/>
      <c r="C9" s="235" t="s">
        <v>227</v>
      </c>
      <c r="D9" s="554"/>
      <c r="E9" s="472"/>
      <c r="F9" s="269"/>
      <c r="G9" s="386"/>
    </row>
    <row r="11" spans="2:35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545"/>
      <c r="M11" s="545"/>
      <c r="N11" s="546"/>
      <c r="O11" s="546"/>
      <c r="P11" s="496"/>
      <c r="Q11" s="547" t="s">
        <v>142</v>
      </c>
      <c r="R11" s="548" t="s">
        <v>184</v>
      </c>
      <c r="S11" s="542" t="s">
        <v>169</v>
      </c>
      <c r="T11" s="542"/>
      <c r="U11" s="542" t="s">
        <v>335</v>
      </c>
    </row>
    <row r="12" spans="2:35">
      <c r="C12" s="543"/>
      <c r="D12" s="543"/>
      <c r="E12" s="543">
        <v>1</v>
      </c>
      <c r="F12" s="543"/>
      <c r="G12" s="543"/>
      <c r="H12" s="543"/>
      <c r="I12" s="543">
        <v>2</v>
      </c>
      <c r="J12" s="543"/>
      <c r="K12" s="543"/>
      <c r="L12" s="543"/>
      <c r="M12" s="543">
        <v>3</v>
      </c>
      <c r="N12" s="543"/>
      <c r="O12" s="543"/>
      <c r="P12" s="543"/>
      <c r="Q12" s="547"/>
      <c r="R12" s="549"/>
      <c r="S12" s="542"/>
      <c r="T12" s="542"/>
      <c r="U12" s="542"/>
      <c r="AB12" s="172"/>
    </row>
    <row r="13" spans="2:35" ht="27">
      <c r="C13" s="543"/>
      <c r="D13" s="543"/>
      <c r="E13" s="424" t="s">
        <v>150</v>
      </c>
      <c r="F13" s="423" t="s">
        <v>302</v>
      </c>
      <c r="G13" s="423" t="s">
        <v>152</v>
      </c>
      <c r="H13" s="423" t="s">
        <v>153</v>
      </c>
      <c r="I13" s="424" t="s">
        <v>150</v>
      </c>
      <c r="J13" s="423" t="s">
        <v>302</v>
      </c>
      <c r="K13" s="423" t="s">
        <v>152</v>
      </c>
      <c r="L13" s="423" t="s">
        <v>153</v>
      </c>
      <c r="M13" s="424" t="s">
        <v>150</v>
      </c>
      <c r="N13" s="423" t="s">
        <v>302</v>
      </c>
      <c r="O13" s="423" t="s">
        <v>152</v>
      </c>
      <c r="P13" s="423" t="s">
        <v>153</v>
      </c>
      <c r="Q13" s="547"/>
      <c r="R13" s="549"/>
      <c r="S13" s="423" t="s">
        <v>144</v>
      </c>
      <c r="T13" s="424" t="s">
        <v>168</v>
      </c>
      <c r="U13" s="543"/>
      <c r="W13" s="172" t="s">
        <v>170</v>
      </c>
      <c r="X13" s="267" t="s">
        <v>171</v>
      </c>
    </row>
    <row r="14" spans="2:35">
      <c r="C14" s="537" t="s">
        <v>145</v>
      </c>
      <c r="D14" s="180" t="s">
        <v>8</v>
      </c>
      <c r="E14" s="275">
        <f>IFERROR(VLOOKUP(D14,'미니게임_DATA(순)'!$A$4:$EV$50,130,0),0)</f>
        <v>202</v>
      </c>
      <c r="F14" s="273"/>
      <c r="G14" s="526">
        <f>RANK(E18,($E$18,$E$23,$E$28,$E$33,E$38,$E$43))</f>
        <v>1</v>
      </c>
      <c r="H14" s="526">
        <f>G14</f>
        <v>1</v>
      </c>
      <c r="I14" s="275">
        <f>IFERROR(VLOOKUP(D14,'미니게임_DATA(순)'!$A$4:$EV$50,131,0),0)</f>
        <v>235</v>
      </c>
      <c r="J14" s="273"/>
      <c r="K14" s="526">
        <f>RANK(I18,($I$18,$I$23,$I$28,$I$33,I$38,$I$43))</f>
        <v>1</v>
      </c>
      <c r="L14" s="526">
        <f>RANK(AA18,($AA$18,$AA$23,$AA$28,$AA$33,$AA$38,$AA$43))</f>
        <v>1</v>
      </c>
      <c r="M14" s="275">
        <f>IFERROR(VLOOKUP(D14,'미니게임_DATA(순)'!$A$4:$EV$50,132,0),0)</f>
        <v>199</v>
      </c>
      <c r="N14" s="273"/>
      <c r="O14" s="526">
        <f>RANK(M18,($M$18,$M$23,$M$28,$M$33,$M$38,$M$43))</f>
        <v>2</v>
      </c>
      <c r="P14" s="526">
        <f>S14</f>
        <v>1</v>
      </c>
      <c r="Q14" s="273">
        <f t="shared" ref="Q14:Q43" si="0">E14+I14+M14</f>
        <v>636</v>
      </c>
      <c r="R14" s="274">
        <f>AVERAGE(E14,I14,M14)</f>
        <v>212</v>
      </c>
      <c r="S14" s="529">
        <f>RANK(Q18,($Q$18,$Q$23,$Q$28,$Q$33,$Q$38,$Q$43))</f>
        <v>1</v>
      </c>
      <c r="T14" s="541">
        <f>MAX($Q$18,$Q$23,Q$28,Q$33,Q$38)-Q18</f>
        <v>0</v>
      </c>
      <c r="U14" s="184">
        <f>IFERROR(R14-VLOOKUP(D14,'미니게임_DATA(순)'!$A:$FB,MATCH("rct 20g avg",'미니게임_DATA(순)'!$A$3:$FB$3,0),0),0)</f>
        <v>21.449999999999989</v>
      </c>
      <c r="W14" s="185">
        <f>MAX(E14,I14,M14)</f>
        <v>235</v>
      </c>
      <c r="X14" s="267">
        <f>R14</f>
        <v>212</v>
      </c>
      <c r="Y14" s="267" t="str">
        <f>VLOOKUP(Z14,'미니게임_DATA(순)'!$A$4:$C$45,3,0)</f>
        <v>남</v>
      </c>
      <c r="Z14" s="187" t="str">
        <f>D14</f>
        <v>조문수</v>
      </c>
      <c r="AI14" s="169" t="s">
        <v>465</v>
      </c>
    </row>
    <row r="15" spans="2:35">
      <c r="C15" s="538"/>
      <c r="D15" s="188" t="s">
        <v>22</v>
      </c>
      <c r="E15" s="275">
        <f>IFERROR(VLOOKUP(D15,'미니게임_DATA(순)'!$A$4:$EV$50,130,0),0)</f>
        <v>133</v>
      </c>
      <c r="F15" s="275"/>
      <c r="G15" s="527"/>
      <c r="H15" s="527"/>
      <c r="I15" s="275">
        <f>IFERROR(VLOOKUP(D15,'미니게임_DATA(순)'!$A$4:$EV$50,131,0),0)</f>
        <v>148</v>
      </c>
      <c r="J15" s="275"/>
      <c r="K15" s="527"/>
      <c r="L15" s="527"/>
      <c r="M15" s="275">
        <f>IFERROR(VLOOKUP(D15,'미니게임_DATA(순)'!$A$4:$EV$50,132,0),0)</f>
        <v>129</v>
      </c>
      <c r="N15" s="275"/>
      <c r="O15" s="527"/>
      <c r="P15" s="527"/>
      <c r="Q15" s="275">
        <f t="shared" si="0"/>
        <v>410</v>
      </c>
      <c r="R15" s="300">
        <f t="shared" ref="R15:R16" si="1">AVERAGE(E15,I15,M15)</f>
        <v>136.66666666666666</v>
      </c>
      <c r="S15" s="530"/>
      <c r="T15" s="527"/>
      <c r="U15" s="190">
        <f>IFERROR(R15-VLOOKUP(D15,'미니게임_DATA(순)'!$A:$FB,MATCH("rct 20g avg",'미니게임_DATA(순)'!$A$3:$FB$3,0),0),0)</f>
        <v>-6.6333333333333542</v>
      </c>
      <c r="W15" s="185">
        <f t="shared" ref="W15:W16" si="2">MAX(E15,I15,M15)</f>
        <v>148</v>
      </c>
      <c r="X15" s="267">
        <f t="shared" ref="X15:X16" si="3">R15</f>
        <v>136.66666666666666</v>
      </c>
      <c r="Y15" s="267" t="str">
        <f>VLOOKUP(Z15,'미니게임_DATA(순)'!$A$4:$C$45,3,0)</f>
        <v>남</v>
      </c>
      <c r="Z15" s="187" t="str">
        <f>D15</f>
        <v>이강은</v>
      </c>
    </row>
    <row r="16" spans="2:35">
      <c r="C16" s="538"/>
      <c r="D16" s="188" t="s">
        <v>281</v>
      </c>
      <c r="E16" s="275">
        <f>IFERROR(VLOOKUP(D16,'미니게임_DATA(순)'!$A$4:$EV$50,130,0),0)</f>
        <v>193</v>
      </c>
      <c r="F16" s="275"/>
      <c r="G16" s="527"/>
      <c r="H16" s="527"/>
      <c r="I16" s="275">
        <f>IFERROR(VLOOKUP(D16,'미니게임_DATA(순)'!$A$4:$EV$50,131,0),0)</f>
        <v>148</v>
      </c>
      <c r="J16" s="275"/>
      <c r="K16" s="527"/>
      <c r="L16" s="527"/>
      <c r="M16" s="275">
        <f>IFERROR(VLOOKUP(D16,'미니게임_DATA(순)'!$A$4:$EV$50,132,0),0)</f>
        <v>164</v>
      </c>
      <c r="N16" s="275"/>
      <c r="O16" s="527"/>
      <c r="P16" s="527"/>
      <c r="Q16" s="275">
        <f t="shared" si="0"/>
        <v>505</v>
      </c>
      <c r="R16" s="276">
        <f t="shared" si="1"/>
        <v>168.33333333333334</v>
      </c>
      <c r="S16" s="530"/>
      <c r="T16" s="527"/>
      <c r="U16" s="190">
        <f>IFERROR(R16-VLOOKUP(D16,'미니게임_DATA(순)'!$A:$FB,MATCH("rct 20g avg",'미니게임_DATA(순)'!$A$3:$FB$3,0),0),0)</f>
        <v>7.6833333333333371</v>
      </c>
      <c r="W16" s="185">
        <f t="shared" si="2"/>
        <v>193</v>
      </c>
      <c r="X16" s="267">
        <f t="shared" si="3"/>
        <v>168.33333333333334</v>
      </c>
      <c r="Y16" s="267" t="str">
        <f>VLOOKUP(Z16,'미니게임_DATA(순)'!$A$4:$C$45,3,0)</f>
        <v>여</v>
      </c>
      <c r="Z16" s="187" t="str">
        <f>D16</f>
        <v>오수인</v>
      </c>
    </row>
    <row r="17" spans="3:27">
      <c r="C17" s="538"/>
      <c r="D17" s="191"/>
      <c r="E17" s="279"/>
      <c r="F17" s="279"/>
      <c r="G17" s="527"/>
      <c r="H17" s="527"/>
      <c r="I17" s="279"/>
      <c r="J17" s="279"/>
      <c r="K17" s="527"/>
      <c r="L17" s="527"/>
      <c r="M17" s="279"/>
      <c r="N17" s="279"/>
      <c r="O17" s="527"/>
      <c r="P17" s="527"/>
      <c r="Q17" s="279">
        <f t="shared" si="0"/>
        <v>0</v>
      </c>
      <c r="R17" s="276">
        <f t="shared" ref="R17" si="4">Q17/3</f>
        <v>0</v>
      </c>
      <c r="S17" s="530"/>
      <c r="T17" s="527"/>
      <c r="U17" s="190">
        <f>IFERROR(R17-VLOOKUP(D17,'미니게임_DATA(순)'!$A:$FB,MATCH("rct 20g avg",'미니게임_DATA(순)'!$A$3:$FB$3,0),0),0)</f>
        <v>0</v>
      </c>
      <c r="W17" s="185"/>
      <c r="Z17" s="187"/>
    </row>
    <row r="18" spans="3:27" ht="16.5">
      <c r="C18" s="539"/>
      <c r="D18" s="425"/>
      <c r="E18" s="535">
        <f>SUMIF(E14:F17, "&gt;0")</f>
        <v>528</v>
      </c>
      <c r="F18" s="498"/>
      <c r="G18" s="528"/>
      <c r="H18" s="528"/>
      <c r="I18" s="535">
        <f>SUMIF(I14:J17, "&gt;0")</f>
        <v>531</v>
      </c>
      <c r="J18" s="498"/>
      <c r="K18" s="528"/>
      <c r="L18" s="528"/>
      <c r="M18" s="535">
        <f>SUMIF(M14:N17, "&gt;0")</f>
        <v>492</v>
      </c>
      <c r="N18" s="498"/>
      <c r="O18" s="528"/>
      <c r="P18" s="528"/>
      <c r="Q18" s="272">
        <f t="shared" si="0"/>
        <v>1551</v>
      </c>
      <c r="R18" s="196"/>
      <c r="S18" s="531"/>
      <c r="T18" s="528"/>
      <c r="U18" s="277">
        <f>IFERROR(R18-VLOOKUP(D18,'미니게임_DATA(순)'!$A:$FB,MATCH("rct 20g avg",'미니게임_DATA(순)'!$A$3:$FB$3,0),0),0)</f>
        <v>0</v>
      </c>
      <c r="V18" s="185"/>
      <c r="W18" s="185"/>
      <c r="Z18" s="187">
        <f>D18</f>
        <v>0</v>
      </c>
      <c r="AA18" s="187">
        <f>SUM(E18,I18)</f>
        <v>1059</v>
      </c>
    </row>
    <row r="19" spans="3:27">
      <c r="C19" s="537" t="s">
        <v>146</v>
      </c>
      <c r="D19" s="180" t="s">
        <v>11</v>
      </c>
      <c r="E19" s="275">
        <f>IFERROR(VLOOKUP(D19,'미니게임_DATA(순)'!$A$4:$EV$50,130,0),0)</f>
        <v>157</v>
      </c>
      <c r="F19" s="273"/>
      <c r="G19" s="526">
        <f>RANK(E23,($E$18,$E$23,$E$28,$E$33,E$38,$E$43))</f>
        <v>3</v>
      </c>
      <c r="H19" s="526">
        <f t="shared" ref="H19" si="5">G19</f>
        <v>3</v>
      </c>
      <c r="I19" s="275">
        <f>IFERROR(VLOOKUP(D19,'미니게임_DATA(순)'!$A$4:$EV$50,131,0),0)</f>
        <v>161</v>
      </c>
      <c r="J19" s="273"/>
      <c r="K19" s="526">
        <f>RANK(I23,($I$18,$I$23,$I$28,$I$33,I$38,$I$43))</f>
        <v>3</v>
      </c>
      <c r="L19" s="526">
        <f>RANK(AA23,($AA$18,$AA$23,$AA$28,$AA$33,$AA$38,$AA$43))</f>
        <v>4</v>
      </c>
      <c r="M19" s="275">
        <f>IFERROR(VLOOKUP(D19,'미니게임_DATA(순)'!$A$4:$EV$50,132,0),0)</f>
        <v>176</v>
      </c>
      <c r="N19" s="273"/>
      <c r="O19" s="526">
        <f>RANK(M23,($M$18,$M$23,$M$28,$M$33,$M$38,$M$43))</f>
        <v>1</v>
      </c>
      <c r="P19" s="526">
        <f t="shared" ref="P19" si="6">S19</f>
        <v>2</v>
      </c>
      <c r="Q19" s="273">
        <f t="shared" si="0"/>
        <v>494</v>
      </c>
      <c r="R19" s="274">
        <f>AVERAGE(E19,I19,M19)</f>
        <v>164.66666666666666</v>
      </c>
      <c r="S19" s="529">
        <f>RANK(Q23,($Q$18,$Q$23,$Q$28,$Q$33,$Q$38,$Q$43))</f>
        <v>2</v>
      </c>
      <c r="T19" s="532">
        <f>MAX($Q$18,$Q$23,Q$28,Q$33,Q$38)-Q23</f>
        <v>123</v>
      </c>
      <c r="U19" s="184">
        <f>IFERROR(R19-VLOOKUP(D19,'미니게임_DATA(순)'!$A:$FB,MATCH("rct 20g avg",'미니게임_DATA(순)'!$A$3:$FB$3,0),0),0)</f>
        <v>6.5166666666666515</v>
      </c>
      <c r="W19" s="185">
        <f>MAX(E19,I19,M19)</f>
        <v>176</v>
      </c>
      <c r="X19" s="267">
        <f>R19</f>
        <v>164.66666666666666</v>
      </c>
      <c r="Y19" s="267" t="str">
        <f>VLOOKUP(Z19,'미니게임_DATA(순)'!$A$4:$C$45,3,0)</f>
        <v>남</v>
      </c>
      <c r="Z19" s="187" t="str">
        <f>D19</f>
        <v>박용승</v>
      </c>
    </row>
    <row r="20" spans="3:27">
      <c r="C20" s="538"/>
      <c r="D20" s="188" t="s">
        <v>14</v>
      </c>
      <c r="E20" s="275">
        <f>IFERROR(VLOOKUP(D20,'미니게임_DATA(순)'!$A$4:$EV$50,130,0),0)</f>
        <v>171</v>
      </c>
      <c r="F20" s="275"/>
      <c r="G20" s="527"/>
      <c r="H20" s="527"/>
      <c r="I20" s="275">
        <f>IFERROR(VLOOKUP(D20,'미니게임_DATA(순)'!$A$4:$EV$50,131,0),0)</f>
        <v>136</v>
      </c>
      <c r="J20" s="275"/>
      <c r="K20" s="527"/>
      <c r="L20" s="527"/>
      <c r="M20" s="275">
        <f>IFERROR(VLOOKUP(D20,'미니게임_DATA(순)'!$A$4:$EV$50,132,0),0)</f>
        <v>192</v>
      </c>
      <c r="N20" s="275"/>
      <c r="O20" s="527"/>
      <c r="P20" s="527"/>
      <c r="Q20" s="275">
        <f t="shared" si="0"/>
        <v>499</v>
      </c>
      <c r="R20" s="300">
        <f t="shared" ref="R20:R21" si="7">AVERAGE(E20,I20,M20)</f>
        <v>166.33333333333334</v>
      </c>
      <c r="S20" s="530"/>
      <c r="T20" s="533"/>
      <c r="U20" s="190">
        <f>IFERROR(R20-VLOOKUP(D20,'미니게임_DATA(순)'!$A:$FB,MATCH("rct 20g avg",'미니게임_DATA(순)'!$A$3:$FB$3,0),0),0)</f>
        <v>1.7833333333333314</v>
      </c>
      <c r="W20" s="185">
        <f t="shared" ref="W20:W21" si="8">MAX(E20,I20,M20)</f>
        <v>192</v>
      </c>
      <c r="X20" s="267">
        <f>R20</f>
        <v>166.33333333333334</v>
      </c>
      <c r="Y20" s="267" t="str">
        <f>VLOOKUP(Z20,'미니게임_DATA(순)'!$A$4:$C$45,3,0)</f>
        <v>남</v>
      </c>
      <c r="Z20" s="187" t="str">
        <f>D20</f>
        <v>채승엽</v>
      </c>
    </row>
    <row r="21" spans="3:27">
      <c r="C21" s="538"/>
      <c r="D21" s="188" t="s">
        <v>463</v>
      </c>
      <c r="E21" s="275">
        <v>145</v>
      </c>
      <c r="F21" s="275"/>
      <c r="G21" s="527"/>
      <c r="H21" s="527"/>
      <c r="I21" s="275">
        <v>145</v>
      </c>
      <c r="J21" s="275"/>
      <c r="K21" s="527"/>
      <c r="L21" s="527"/>
      <c r="M21" s="275">
        <v>145</v>
      </c>
      <c r="N21" s="275"/>
      <c r="O21" s="527"/>
      <c r="P21" s="527"/>
      <c r="Q21" s="275">
        <f t="shared" si="0"/>
        <v>435</v>
      </c>
      <c r="R21" s="276">
        <f t="shared" si="7"/>
        <v>145</v>
      </c>
      <c r="S21" s="530"/>
      <c r="T21" s="533"/>
      <c r="U21" s="190">
        <f>IFERROR(R21-VLOOKUP(D21,'미니게임_DATA(순)'!$A:$FB,MATCH("rct 20g avg",'미니게임_DATA(순)'!$A$3:$FB$3,0),0),0)</f>
        <v>0</v>
      </c>
      <c r="W21" s="185">
        <f t="shared" si="8"/>
        <v>145</v>
      </c>
      <c r="X21" s="267">
        <f>R21</f>
        <v>145</v>
      </c>
      <c r="Z21" s="187" t="str">
        <f>D21</f>
        <v>동수3</v>
      </c>
    </row>
    <row r="22" spans="3:27">
      <c r="C22" s="538"/>
      <c r="D22" s="188"/>
      <c r="E22" s="279"/>
      <c r="F22" s="279"/>
      <c r="G22" s="527"/>
      <c r="H22" s="527"/>
      <c r="I22" s="279"/>
      <c r="J22" s="279"/>
      <c r="K22" s="527"/>
      <c r="L22" s="527"/>
      <c r="M22" s="279"/>
      <c r="N22" s="279"/>
      <c r="O22" s="527"/>
      <c r="P22" s="527"/>
      <c r="Q22" s="279">
        <f t="shared" si="0"/>
        <v>0</v>
      </c>
      <c r="R22" s="276">
        <f t="shared" ref="R22" si="9">Q22/3</f>
        <v>0</v>
      </c>
      <c r="S22" s="530"/>
      <c r="T22" s="533"/>
      <c r="U22" s="190">
        <f>IFERROR(R22-VLOOKUP(D22,'미니게임_DATA(순)'!$A:$FB,MATCH("rct 20g avg",'미니게임_DATA(순)'!$A$3:$FB$3,0),0),0)</f>
        <v>0</v>
      </c>
      <c r="W22" s="185"/>
      <c r="Z22" s="187"/>
    </row>
    <row r="23" spans="3:27" ht="16.5">
      <c r="C23" s="539"/>
      <c r="D23" s="425"/>
      <c r="E23" s="535">
        <f>SUMIF(E19:F22, "&gt;0")</f>
        <v>473</v>
      </c>
      <c r="F23" s="498"/>
      <c r="G23" s="528"/>
      <c r="H23" s="528"/>
      <c r="I23" s="535">
        <f>SUMIF(I19:J22, "&gt;0")</f>
        <v>442</v>
      </c>
      <c r="J23" s="498"/>
      <c r="K23" s="528"/>
      <c r="L23" s="528"/>
      <c r="M23" s="535">
        <f>SUMIF(M19:N22, "&gt;0")</f>
        <v>513</v>
      </c>
      <c r="N23" s="498"/>
      <c r="O23" s="528"/>
      <c r="P23" s="528"/>
      <c r="Q23" s="272">
        <f t="shared" si="0"/>
        <v>1428</v>
      </c>
      <c r="R23" s="196"/>
      <c r="S23" s="531"/>
      <c r="T23" s="534"/>
      <c r="U23" s="277">
        <f>IFERROR(R23-VLOOKUP(D23,'미니게임_DATA(순)'!$A:$FB,MATCH("rct 20g avg",'미니게임_DATA(순)'!$A$3:$FB$3,0),0),0)</f>
        <v>0</v>
      </c>
      <c r="V23" s="185"/>
      <c r="W23" s="185"/>
      <c r="Z23" s="187">
        <f t="shared" ref="Z23:Z32" si="10">D23</f>
        <v>0</v>
      </c>
      <c r="AA23" s="187">
        <f>SUM(E23,I23)</f>
        <v>915</v>
      </c>
    </row>
    <row r="24" spans="3:27">
      <c r="C24" s="537" t="s">
        <v>147</v>
      </c>
      <c r="D24" s="180" t="s">
        <v>37</v>
      </c>
      <c r="E24" s="275">
        <f>IFERROR(VLOOKUP(D24,'미니게임_DATA(순)'!$A$4:$EV$50,130,0),0)</f>
        <v>165</v>
      </c>
      <c r="F24" s="273"/>
      <c r="G24" s="526">
        <f>RANK(E28,($E$18,$E$23,$E$28,$E$33,E$38,$E$43))</f>
        <v>4</v>
      </c>
      <c r="H24" s="526">
        <f t="shared" ref="H24" si="11">G24</f>
        <v>4</v>
      </c>
      <c r="I24" s="275">
        <f>IFERROR(VLOOKUP(D24,'미니게임_DATA(순)'!$A$4:$EV$50,131,0),0)</f>
        <v>156</v>
      </c>
      <c r="J24" s="273"/>
      <c r="K24" s="526">
        <f>RANK(I28,($I$18,$I$23,$I$28,$I$33,I$38,$I$43))</f>
        <v>2</v>
      </c>
      <c r="L24" s="526">
        <f>RANK(AA28,($AA$18,$AA$23,$AA$28,$AA$33,$AA$38,$AA$43))</f>
        <v>2</v>
      </c>
      <c r="M24" s="275">
        <f>IFERROR(VLOOKUP(D24,'미니게임_DATA(순)'!$A$4:$EV$50,132,0),0)</f>
        <v>161</v>
      </c>
      <c r="N24" s="273"/>
      <c r="O24" s="526">
        <f>RANK(M28,($M$18,$M$23,$M$28,$M$33,$M$38,$M$43))</f>
        <v>3</v>
      </c>
      <c r="P24" s="526">
        <f t="shared" ref="P24" si="12">S24</f>
        <v>3</v>
      </c>
      <c r="Q24" s="273">
        <f t="shared" si="0"/>
        <v>482</v>
      </c>
      <c r="R24" s="274">
        <f>AVERAGE(E24,I24,M24)</f>
        <v>160.66666666666666</v>
      </c>
      <c r="S24" s="529">
        <f>RANK(Q28,($Q$18,$Q$23,$Q$28,$Q$33,$Q$38,$Q$43))</f>
        <v>3</v>
      </c>
      <c r="T24" s="532">
        <f>MAX($Q$18,$Q$23,Q$28,Q$33,Q$38)-Q28</f>
        <v>171</v>
      </c>
      <c r="U24" s="184">
        <f>IFERROR(R24-VLOOKUP(D24,'미니게임_DATA(순)'!$A:$FB,MATCH("rct 20g avg",'미니게임_DATA(순)'!$A$3:$FB$3,0),0),0)</f>
        <v>-6.4333333333333371</v>
      </c>
      <c r="W24" s="185">
        <f t="shared" ref="W24:W27" si="13">MAX(E24,I24,M24)</f>
        <v>165</v>
      </c>
      <c r="X24" s="267">
        <f>R24</f>
        <v>160.66666666666666</v>
      </c>
      <c r="Y24" s="267" t="s">
        <v>156</v>
      </c>
      <c r="Z24" s="187" t="str">
        <f t="shared" si="10"/>
        <v>최은규</v>
      </c>
    </row>
    <row r="25" spans="3:27">
      <c r="C25" s="538"/>
      <c r="D25" s="188" t="s">
        <v>241</v>
      </c>
      <c r="E25" s="275">
        <f>IFERROR(VLOOKUP(D25,'미니게임_DATA(순)'!$A$4:$EV$50,130,0),0)</f>
        <v>140</v>
      </c>
      <c r="F25" s="275"/>
      <c r="G25" s="527"/>
      <c r="H25" s="527"/>
      <c r="I25" s="275">
        <f>IFERROR(VLOOKUP(D25,'미니게임_DATA(순)'!$A$4:$EV$50,131,0),0)</f>
        <v>179</v>
      </c>
      <c r="J25" s="275"/>
      <c r="K25" s="527"/>
      <c r="L25" s="527"/>
      <c r="M25" s="275">
        <f>IFERROR(VLOOKUP(D25,'미니게임_DATA(순)'!$A$4:$EV$50,132,0),0)</f>
        <v>141</v>
      </c>
      <c r="N25" s="275"/>
      <c r="O25" s="527"/>
      <c r="P25" s="527"/>
      <c r="Q25" s="275">
        <f t="shared" si="0"/>
        <v>460</v>
      </c>
      <c r="R25" s="300">
        <f t="shared" ref="R25:R26" si="14">AVERAGE(E25,I25,M25)</f>
        <v>153.33333333333334</v>
      </c>
      <c r="S25" s="530"/>
      <c r="T25" s="533"/>
      <c r="U25" s="190">
        <f>IFERROR(R25-VLOOKUP(D25,'미니게임_DATA(순)'!$A:$FB,MATCH("rct 20g avg",'미니게임_DATA(순)'!$A$3:$FB$3,0),0),0)</f>
        <v>-4.8166666666666629</v>
      </c>
      <c r="W25" s="185">
        <f t="shared" si="13"/>
        <v>179</v>
      </c>
      <c r="X25" s="267">
        <f>R25</f>
        <v>153.33333333333334</v>
      </c>
      <c r="Y25" s="267" t="str">
        <f>VLOOKUP(Z25,'미니게임_DATA(순)'!$A$4:$C$45,3,0)</f>
        <v>남</v>
      </c>
      <c r="Z25" s="187" t="str">
        <f t="shared" si="10"/>
        <v>이유재</v>
      </c>
    </row>
    <row r="26" spans="3:27">
      <c r="C26" s="538"/>
      <c r="D26" s="188" t="s">
        <v>371</v>
      </c>
      <c r="E26" s="275">
        <f>IFERROR(VLOOKUP(D26,'미니게임_DATA(순)'!$A$4:$EV$50,130,0),0)</f>
        <v>110</v>
      </c>
      <c r="F26" s="275">
        <v>10</v>
      </c>
      <c r="G26" s="527"/>
      <c r="H26" s="527"/>
      <c r="I26" s="275">
        <f>IFERROR(VLOOKUP(D26,'미니게임_DATA(순)'!$A$4:$EV$50,131,0),0)</f>
        <v>172</v>
      </c>
      <c r="J26" s="275">
        <v>10</v>
      </c>
      <c r="K26" s="527"/>
      <c r="L26" s="527"/>
      <c r="M26" s="275">
        <f>IFERROR(VLOOKUP(D26,'미니게임_DATA(순)'!$A$4:$EV$50,132,0),0)</f>
        <v>126</v>
      </c>
      <c r="N26" s="275">
        <v>10</v>
      </c>
      <c r="O26" s="527"/>
      <c r="P26" s="527"/>
      <c r="Q26" s="275">
        <f t="shared" si="0"/>
        <v>408</v>
      </c>
      <c r="R26" s="276">
        <f t="shared" si="14"/>
        <v>136</v>
      </c>
      <c r="S26" s="530"/>
      <c r="T26" s="533"/>
      <c r="U26" s="190">
        <f>IFERROR(R26-VLOOKUP(D26,'미니게임_DATA(순)'!$A:$FB,MATCH("rct 20g avg",'미니게임_DATA(순)'!$A$3:$FB$3,0),0),0)</f>
        <v>13.25</v>
      </c>
      <c r="W26" s="185">
        <f t="shared" si="13"/>
        <v>172</v>
      </c>
      <c r="X26" s="267">
        <f>R26</f>
        <v>136</v>
      </c>
      <c r="Y26" s="267" t="str">
        <f>VLOOKUP(Z26,'미니게임_DATA(순)'!$A$4:$C$45,3,0)</f>
        <v>남</v>
      </c>
      <c r="Z26" s="187" t="str">
        <f t="shared" si="10"/>
        <v>이종현</v>
      </c>
    </row>
    <row r="27" spans="3:27">
      <c r="C27" s="538"/>
      <c r="D27" s="191"/>
      <c r="E27" s="302">
        <f>IFERROR(VLOOKUP(D27,'미니게임_DATA(순)'!$A$4:$EV$45,111,0),0)</f>
        <v>0</v>
      </c>
      <c r="F27" s="279"/>
      <c r="G27" s="527"/>
      <c r="H27" s="527"/>
      <c r="I27" s="302">
        <f>IFERROR(VLOOKUP(D27,'미니게임_DATA(순)'!$A$4:$EV$45,112,0),0)</f>
        <v>0</v>
      </c>
      <c r="J27" s="279"/>
      <c r="K27" s="527"/>
      <c r="L27" s="527"/>
      <c r="M27" s="302">
        <f>IFERROR(VLOOKUP(D27,'미니게임_DATA(순)'!$A$4:$EV$45,113,0),0)</f>
        <v>0</v>
      </c>
      <c r="N27" s="279"/>
      <c r="O27" s="527"/>
      <c r="P27" s="527"/>
      <c r="Q27" s="279">
        <f t="shared" si="0"/>
        <v>0</v>
      </c>
      <c r="R27" s="276">
        <f t="shared" ref="R27" si="15">Q27/3</f>
        <v>0</v>
      </c>
      <c r="S27" s="530"/>
      <c r="T27" s="533"/>
      <c r="U27" s="190">
        <f>IFERROR(R27-VLOOKUP(D27,'미니게임_DATA(순)'!$A:$FB,MATCH("rct 20g avg",'미니게임_DATA(순)'!$A$3:$FB$3,0),0),0)</f>
        <v>0</v>
      </c>
      <c r="W27" s="185">
        <f t="shared" si="13"/>
        <v>0</v>
      </c>
      <c r="X27" s="267">
        <f>R27</f>
        <v>0</v>
      </c>
      <c r="Y27" s="388" t="s">
        <v>239</v>
      </c>
      <c r="Z27" s="187">
        <f t="shared" si="10"/>
        <v>0</v>
      </c>
    </row>
    <row r="28" spans="3:27" ht="16.5">
      <c r="C28" s="539"/>
      <c r="D28" s="425"/>
      <c r="E28" s="535">
        <f>SUMIF(E24:F26, "&gt;0")</f>
        <v>425</v>
      </c>
      <c r="F28" s="498"/>
      <c r="G28" s="528"/>
      <c r="H28" s="528"/>
      <c r="I28" s="535">
        <f>SUMIF(I24:J26, "&gt;0")</f>
        <v>517</v>
      </c>
      <c r="J28" s="498"/>
      <c r="K28" s="528"/>
      <c r="L28" s="528"/>
      <c r="M28" s="535">
        <f>SUMIF(M24:N26, "&gt;0")</f>
        <v>438</v>
      </c>
      <c r="N28" s="498"/>
      <c r="O28" s="528"/>
      <c r="P28" s="528"/>
      <c r="Q28" s="272">
        <f t="shared" si="0"/>
        <v>1380</v>
      </c>
      <c r="R28" s="196"/>
      <c r="S28" s="531"/>
      <c r="T28" s="534"/>
      <c r="U28" s="277">
        <f>IFERROR(R28-VLOOKUP(D28,'미니게임_DATA(순)'!$A:$FB,MATCH("rct 20g avg",'미니게임_DATA(순)'!$A$3:$FB$3,0),0),0)</f>
        <v>0</v>
      </c>
      <c r="V28" s="185"/>
      <c r="W28" s="185"/>
      <c r="Z28" s="187">
        <f t="shared" si="10"/>
        <v>0</v>
      </c>
      <c r="AA28" s="187">
        <f>SUM(E28,I28)</f>
        <v>942</v>
      </c>
    </row>
    <row r="29" spans="3:27">
      <c r="C29" s="537" t="s">
        <v>148</v>
      </c>
      <c r="D29" s="180" t="s">
        <v>13</v>
      </c>
      <c r="E29" s="275">
        <f>IFERROR(VLOOKUP(D29,'미니게임_DATA(순)'!$A$4:$EV$50,130,0),0)</f>
        <v>206</v>
      </c>
      <c r="F29" s="273"/>
      <c r="G29" s="526">
        <f>RANK(E33,($E$18,$E$23,$E$28,$E$33,E$38,$E$43))</f>
        <v>2</v>
      </c>
      <c r="H29" s="526">
        <f t="shared" ref="H29" si="16">G29</f>
        <v>2</v>
      </c>
      <c r="I29" s="275">
        <f>IFERROR(VLOOKUP(D29,'미니게임_DATA(순)'!$A$4:$EV$50,131,0),0)</f>
        <v>165</v>
      </c>
      <c r="J29" s="273"/>
      <c r="K29" s="526">
        <f>RANK(I33,($I$18,$I$23,$I$28,$I$33,I$38,$I$43))</f>
        <v>4</v>
      </c>
      <c r="L29" s="526">
        <f>RANK(AA33,($AA$18,$AA$23,$AA$28,$AA$33,$AA$38,$AA$43))</f>
        <v>3</v>
      </c>
      <c r="M29" s="275">
        <f>IFERROR(VLOOKUP(D29,'미니게임_DATA(순)'!$A$4:$EV$50,132,0),0)</f>
        <v>157</v>
      </c>
      <c r="N29" s="273"/>
      <c r="O29" s="526">
        <f>RANK(M33,($M$18,$M$23,$M$28,$M$33,$M$38,$M$43))</f>
        <v>4</v>
      </c>
      <c r="P29" s="526">
        <f t="shared" ref="P29" si="17">S29</f>
        <v>4</v>
      </c>
      <c r="Q29" s="273">
        <f t="shared" si="0"/>
        <v>528</v>
      </c>
      <c r="R29" s="274">
        <f>AVERAGE(E29,I29,M29)</f>
        <v>176</v>
      </c>
      <c r="S29" s="529">
        <f>RANK(Q33,($Q$18,$Q$23,$Q$28,$Q$33,$Q$38,$Q$43))</f>
        <v>4</v>
      </c>
      <c r="T29" s="532">
        <f>MAX($Q$18,$Q$23,Q$28,Q$33,Q$38)-Q33</f>
        <v>209</v>
      </c>
      <c r="U29" s="184">
        <f>IFERROR(R29-VLOOKUP(D29,'미니게임_DATA(순)'!$A:$FB,MATCH("rct 20g avg",'미니게임_DATA(순)'!$A$3:$FB$3,0),0),0)</f>
        <v>18.900000000000006</v>
      </c>
      <c r="W29" s="185">
        <f t="shared" ref="W29:W31" si="18">MAX(E29,I29,M29)</f>
        <v>206</v>
      </c>
      <c r="X29" s="267">
        <f>R29</f>
        <v>176</v>
      </c>
      <c r="Y29" s="267" t="str">
        <f>IFERROR(VLOOKUP(Z29,'미니게임_DATA(순)'!$A$4:$C$45,3,0),"-")</f>
        <v>남</v>
      </c>
      <c r="Z29" s="187" t="str">
        <f t="shared" si="10"/>
        <v>정동현</v>
      </c>
    </row>
    <row r="30" spans="3:27">
      <c r="C30" s="538"/>
      <c r="D30" s="188" t="s">
        <v>10</v>
      </c>
      <c r="E30" s="275">
        <f>IFERROR(VLOOKUP(D30,'미니게임_DATA(순)'!$A$4:$EV$50,130,0),0)</f>
        <v>183</v>
      </c>
      <c r="F30" s="275"/>
      <c r="G30" s="527"/>
      <c r="H30" s="527"/>
      <c r="I30" s="275">
        <f>IFERROR(VLOOKUP(D30,'미니게임_DATA(순)'!$A$4:$EV$50,131,0),0)</f>
        <v>123</v>
      </c>
      <c r="J30" s="275"/>
      <c r="K30" s="527"/>
      <c r="L30" s="527"/>
      <c r="M30" s="275">
        <f>IFERROR(VLOOKUP(D30,'미니게임_DATA(순)'!$A$4:$EV$50,132,0),0)</f>
        <v>135</v>
      </c>
      <c r="N30" s="275"/>
      <c r="O30" s="527"/>
      <c r="P30" s="527"/>
      <c r="Q30" s="275">
        <f t="shared" si="0"/>
        <v>441</v>
      </c>
      <c r="R30" s="300">
        <f t="shared" ref="R30" si="19">AVERAGE(E30,I30,M30)</f>
        <v>147</v>
      </c>
      <c r="S30" s="530"/>
      <c r="T30" s="533"/>
      <c r="U30" s="190">
        <f>IFERROR(R30-VLOOKUP(D30,'미니게임_DATA(순)'!$A:$FB,MATCH("rct 20g avg",'미니게임_DATA(순)'!$A$3:$FB$3,0),0),0)</f>
        <v>-3.9000000000000057</v>
      </c>
      <c r="W30" s="185">
        <f t="shared" si="18"/>
        <v>183</v>
      </c>
      <c r="X30" s="267">
        <f>R30</f>
        <v>147</v>
      </c>
      <c r="Y30" s="267" t="str">
        <f>IFERROR(VLOOKUP(Z30,'미니게임_DATA(순)'!$A$4:$C$45,3,0),"-")</f>
        <v>남</v>
      </c>
      <c r="Z30" s="187" t="str">
        <f t="shared" si="10"/>
        <v>김신철</v>
      </c>
    </row>
    <row r="31" spans="3:27">
      <c r="C31" s="538"/>
      <c r="D31" s="188" t="s">
        <v>42</v>
      </c>
      <c r="E31" s="275">
        <f>IFERROR(VLOOKUP(D31,'미니게임_DATA(순)'!$A$4:$EV$50,130,0),0)</f>
        <v>103</v>
      </c>
      <c r="F31" s="275">
        <v>10</v>
      </c>
      <c r="G31" s="527"/>
      <c r="H31" s="527"/>
      <c r="I31" s="275">
        <f>IFERROR(VLOOKUP(D31,'미니게임_DATA(순)'!$A$4:$EV$50,131,0),0)</f>
        <v>141</v>
      </c>
      <c r="J31" s="275">
        <v>10</v>
      </c>
      <c r="K31" s="527"/>
      <c r="L31" s="527"/>
      <c r="M31" s="275">
        <f>IFERROR(VLOOKUP(D31,'미니게임_DATA(순)'!$A$4:$EV$50,132,0),0)</f>
        <v>99</v>
      </c>
      <c r="N31" s="275">
        <v>10</v>
      </c>
      <c r="O31" s="527"/>
      <c r="P31" s="527"/>
      <c r="Q31" s="275">
        <f t="shared" si="0"/>
        <v>343</v>
      </c>
      <c r="R31" s="276">
        <f t="shared" ref="R31:R32" si="20">Q31/3</f>
        <v>114.33333333333333</v>
      </c>
      <c r="S31" s="530"/>
      <c r="T31" s="533"/>
      <c r="U31" s="190">
        <f>IFERROR(R31-VLOOKUP(D31,'미니게임_DATA(순)'!$A:$FB,MATCH("rct 20g avg",'미니게임_DATA(순)'!$A$3:$FB$3,0),0),0)</f>
        <v>-18.86666666666666</v>
      </c>
      <c r="W31" s="185">
        <f t="shared" si="18"/>
        <v>141</v>
      </c>
      <c r="X31" s="267">
        <f>R31</f>
        <v>114.33333333333333</v>
      </c>
      <c r="Y31" s="267" t="str">
        <f>IFERROR(VLOOKUP(Z31,'미니게임_DATA(순)'!$A$4:$C$45,3,0),"-")</f>
        <v>남</v>
      </c>
      <c r="Z31" s="187" t="str">
        <f t="shared" si="10"/>
        <v>권진현</v>
      </c>
    </row>
    <row r="32" spans="3:27">
      <c r="C32" s="538"/>
      <c r="D32" s="188"/>
      <c r="E32" s="387">
        <f>IFERROR(VLOOKUP(D32,'미니게임_DATA(순)'!$A$4:$EV$45,115,0),0)</f>
        <v>0</v>
      </c>
      <c r="F32" s="279"/>
      <c r="G32" s="527"/>
      <c r="H32" s="527"/>
      <c r="I32" s="387">
        <f>IFERROR(VLOOKUP(D32,'미니게임_DATA(순)'!$A$4:$EV$45,116,0),0)</f>
        <v>0</v>
      </c>
      <c r="J32" s="279"/>
      <c r="K32" s="527"/>
      <c r="L32" s="527"/>
      <c r="M32" s="387">
        <f>IFERROR(VLOOKUP(D32,'미니게임_DATA(순)'!$A$4:$EV$45,117,0),0)</f>
        <v>0</v>
      </c>
      <c r="N32" s="279"/>
      <c r="O32" s="527"/>
      <c r="P32" s="527"/>
      <c r="Q32" s="279">
        <f t="shared" si="0"/>
        <v>0</v>
      </c>
      <c r="R32" s="276">
        <f t="shared" si="20"/>
        <v>0</v>
      </c>
      <c r="S32" s="530"/>
      <c r="T32" s="533"/>
      <c r="U32" s="190">
        <f>IFERROR(R32-VLOOKUP(D32,'미니게임_DATA(순)'!$A:$FB,MATCH("rct 20g avg",'미니게임_DATA(순)'!$A$3:$FB$3,0),0),0)</f>
        <v>0</v>
      </c>
      <c r="W32" s="185"/>
      <c r="Y32" s="267" t="str">
        <f>IFERROR(VLOOKUP(Z32,'미니게임_DATA(순)'!$A$4:$C$45,3,0),"-")</f>
        <v>-</v>
      </c>
      <c r="Z32" s="187">
        <f t="shared" si="10"/>
        <v>0</v>
      </c>
    </row>
    <row r="33" spans="2:28" ht="16.5">
      <c r="C33" s="539"/>
      <c r="D33" s="425"/>
      <c r="E33" s="535">
        <f>SUMIF(E29:F31, "&gt;0")</f>
        <v>502</v>
      </c>
      <c r="F33" s="498"/>
      <c r="G33" s="528"/>
      <c r="H33" s="528"/>
      <c r="I33" s="535">
        <f>SUMIF(I29:J31, "&gt;0")</f>
        <v>439</v>
      </c>
      <c r="J33" s="498"/>
      <c r="K33" s="528"/>
      <c r="L33" s="528"/>
      <c r="M33" s="535">
        <f>SUMIF(M29:N31, "&gt;0")</f>
        <v>401</v>
      </c>
      <c r="N33" s="536"/>
      <c r="O33" s="528"/>
      <c r="P33" s="528"/>
      <c r="Q33" s="272">
        <f t="shared" si="0"/>
        <v>1342</v>
      </c>
      <c r="R33" s="196"/>
      <c r="S33" s="531"/>
      <c r="T33" s="534"/>
      <c r="U33" s="277">
        <f>IFERROR(R33-VLOOKUP(D33,'미니게임_DATA(순)'!$A:$FB,MATCH("rct 20g avg",'미니게임_DATA(순)'!$A$3:$FB$3,0),0),0)</f>
        <v>0</v>
      </c>
      <c r="V33" s="185"/>
      <c r="W33" s="185"/>
      <c r="Y33" s="267" t="str">
        <f>IFERROR(VLOOKUP(Z33,'미니게임_DATA(순)'!$A$4:$C$45,3,0),"-")</f>
        <v>-</v>
      </c>
      <c r="Z33" s="187">
        <f>D33</f>
        <v>0</v>
      </c>
      <c r="AA33" s="187">
        <f>SUM(E33,I33)</f>
        <v>941</v>
      </c>
    </row>
    <row r="34" spans="2:28">
      <c r="C34" s="537" t="s">
        <v>149</v>
      </c>
      <c r="D34" s="180"/>
      <c r="E34" s="275">
        <f>IFERROR(VLOOKUP(D34,'미니게임_DATA(순)'!$A$4:$EV$50,124,0),0)</f>
        <v>0</v>
      </c>
      <c r="F34" s="273"/>
      <c r="G34" s="526">
        <f>RANK(E38,($E$18,$E$23,$E$28,$E$33,E$38,$E$43))</f>
        <v>5</v>
      </c>
      <c r="H34" s="526">
        <f t="shared" ref="H34" si="21">G34</f>
        <v>5</v>
      </c>
      <c r="I34" s="275">
        <f>IFERROR(VLOOKUP(D34,'미니게임_DATA(순)'!$A$4:$EV$50,125,0),0)</f>
        <v>0</v>
      </c>
      <c r="J34" s="273"/>
      <c r="K34" s="526">
        <f>RANK(I38,($I$18,$I$23,$I$28,$I$33,I$38,$I$43))</f>
        <v>5</v>
      </c>
      <c r="L34" s="526">
        <f>RANK(AA38,($AA$18,$AA$23,$AA$28,$AA$33,$AA$38,$AA$43))</f>
        <v>5</v>
      </c>
      <c r="M34" s="275">
        <f>IFERROR(VLOOKUP(D34,'미니게임_DATA(순)'!$A$4:$EV$50,126,0),0)</f>
        <v>0</v>
      </c>
      <c r="N34" s="273"/>
      <c r="O34" s="526">
        <f>RANK(M38,($M$18,$M$23,$M$28,$M$33,$M$38,$M$43))</f>
        <v>5</v>
      </c>
      <c r="P34" s="526">
        <f t="shared" ref="P34" si="22">S34</f>
        <v>5</v>
      </c>
      <c r="Q34" s="273">
        <f t="shared" si="0"/>
        <v>0</v>
      </c>
      <c r="R34" s="274">
        <f>AVERAGE(E34,I34,M34)</f>
        <v>0</v>
      </c>
      <c r="S34" s="529">
        <f>RANK(Q38,($Q$18,$Q$23,$Q$28,$Q$33,$Q$38,$Q$43))</f>
        <v>5</v>
      </c>
      <c r="T34" s="532">
        <f>MAX($Q$18,$Q$23,Q$28,Q$33,Q$38)-Q38</f>
        <v>1551</v>
      </c>
      <c r="U34" s="184">
        <f>IFERROR(R34-VLOOKUP(D34,'미니게임_DATA(순)'!$A:$FB,MATCH("rct 20g avg",'미니게임_DATA(순)'!$A$3:$FB$3,0),0),0)</f>
        <v>0</v>
      </c>
      <c r="W34" s="185">
        <f t="shared" ref="W34:W35" si="23">MAX(E34,I34,M34)</f>
        <v>0</v>
      </c>
      <c r="X34" s="267">
        <f>R34</f>
        <v>0</v>
      </c>
      <c r="Y34" s="267" t="str">
        <f>IFERROR(VLOOKUP(Z34,'미니게임_DATA(순)'!$A$4:$C$45,3,0),"-")</f>
        <v>-</v>
      </c>
      <c r="Z34" s="187">
        <f t="shared" ref="Z34:Z37" si="24">D34</f>
        <v>0</v>
      </c>
    </row>
    <row r="35" spans="2:28" s="172" customFormat="1">
      <c r="B35" s="169"/>
      <c r="C35" s="538"/>
      <c r="D35" s="188"/>
      <c r="E35" s="275">
        <f>IFERROR(VLOOKUP(D35,'미니게임_DATA(순)'!$A$4:$EV$50,124,0),0)</f>
        <v>0</v>
      </c>
      <c r="F35" s="275"/>
      <c r="G35" s="527"/>
      <c r="H35" s="527"/>
      <c r="I35" s="275">
        <f>IFERROR(VLOOKUP(D35,'미니게임_DATA(순)'!$A$4:$EV$50,125,0),0)</f>
        <v>0</v>
      </c>
      <c r="J35" s="275"/>
      <c r="K35" s="527"/>
      <c r="L35" s="527"/>
      <c r="M35" s="275">
        <f>IFERROR(VLOOKUP(D35,'미니게임_DATA(순)'!$A$4:$EV$50,126,0),0)</f>
        <v>0</v>
      </c>
      <c r="N35" s="275"/>
      <c r="O35" s="527"/>
      <c r="P35" s="527"/>
      <c r="Q35" s="275">
        <f t="shared" si="0"/>
        <v>0</v>
      </c>
      <c r="R35" s="300">
        <f t="shared" ref="R35" si="25">AVERAGE(E35,I35,M35)</f>
        <v>0</v>
      </c>
      <c r="S35" s="530"/>
      <c r="T35" s="533"/>
      <c r="U35" s="190">
        <f>IFERROR(R35-VLOOKUP(D35,'미니게임_DATA(순)'!$A:$FB,MATCH("rct 20g avg",'미니게임_DATA(순)'!$A$3:$FB$3,0),0),0)</f>
        <v>0</v>
      </c>
      <c r="W35" s="185">
        <f t="shared" si="23"/>
        <v>0</v>
      </c>
      <c r="X35" s="267">
        <f>R35</f>
        <v>0</v>
      </c>
      <c r="Y35" s="267" t="str">
        <f>IFERROR(VLOOKUP(Z35,'미니게임_DATA(순)'!$A$4:$C$45,3,0),"-")</f>
        <v>-</v>
      </c>
      <c r="Z35" s="187">
        <f t="shared" si="24"/>
        <v>0</v>
      </c>
      <c r="AA35" s="169"/>
      <c r="AB35" s="169"/>
    </row>
    <row r="36" spans="2:28" s="172" customFormat="1">
      <c r="B36" s="169"/>
      <c r="C36" s="538"/>
      <c r="D36" s="188"/>
      <c r="E36" s="275">
        <f>IFERROR(VLOOKUP(D36,'미니게임_DATA(순)'!$A$4:$EV$50,124,0),0)</f>
        <v>0</v>
      </c>
      <c r="F36" s="275"/>
      <c r="G36" s="527"/>
      <c r="H36" s="527"/>
      <c r="I36" s="275">
        <f>IFERROR(VLOOKUP(D36,'미니게임_DATA(순)'!$A$4:$EV$50,125,0),0)</f>
        <v>0</v>
      </c>
      <c r="J36" s="275"/>
      <c r="K36" s="527"/>
      <c r="L36" s="527"/>
      <c r="M36" s="275">
        <f>IFERROR(VLOOKUP(D36,'미니게임_DATA(순)'!$A$4:$EV$50,126,0),0)</f>
        <v>0</v>
      </c>
      <c r="N36" s="275"/>
      <c r="O36" s="527"/>
      <c r="P36" s="527"/>
      <c r="Q36" s="275">
        <f t="shared" si="0"/>
        <v>0</v>
      </c>
      <c r="R36" s="276">
        <f t="shared" ref="R36:R37" si="26">Q36/3</f>
        <v>0</v>
      </c>
      <c r="S36" s="530"/>
      <c r="T36" s="533"/>
      <c r="U36" s="190">
        <f>IFERROR(R36-VLOOKUP(D36,'미니게임_DATA(순)'!$A:$FB,MATCH("rct 20g avg",'미니게임_DATA(순)'!$A$3:$FB$3,0),0),0)</f>
        <v>0</v>
      </c>
      <c r="W36" s="185"/>
      <c r="X36" s="267">
        <f>R36</f>
        <v>0</v>
      </c>
      <c r="Y36" s="267" t="str">
        <f>IFERROR(VLOOKUP(Z36,'미니게임_DATA(순)'!$A$4:$C$45,3,0),"-")</f>
        <v>-</v>
      </c>
      <c r="Z36" s="187">
        <f t="shared" si="24"/>
        <v>0</v>
      </c>
      <c r="AA36" s="169"/>
      <c r="AB36" s="169"/>
    </row>
    <row r="37" spans="2:28">
      <c r="C37" s="538"/>
      <c r="D37" s="188"/>
      <c r="E37" s="279"/>
      <c r="F37" s="279"/>
      <c r="G37" s="527"/>
      <c r="H37" s="527"/>
      <c r="I37" s="279"/>
      <c r="J37" s="279"/>
      <c r="K37" s="527"/>
      <c r="L37" s="527"/>
      <c r="M37" s="279"/>
      <c r="N37" s="279"/>
      <c r="O37" s="527"/>
      <c r="P37" s="527"/>
      <c r="Q37" s="279">
        <f t="shared" si="0"/>
        <v>0</v>
      </c>
      <c r="R37" s="276">
        <f t="shared" si="26"/>
        <v>0</v>
      </c>
      <c r="S37" s="530"/>
      <c r="T37" s="533"/>
      <c r="U37" s="190">
        <f>IFERROR(R37-VLOOKUP(D37,'미니게임_DATA(순)'!$A:$FB,MATCH("rct 20g avg",'미니게임_DATA(순)'!$A$3:$FB$3,0),0),0)</f>
        <v>0</v>
      </c>
      <c r="W37" s="185"/>
      <c r="Y37" s="267" t="str">
        <f>IFERROR(VLOOKUP(Z37,'미니게임_DATA(순)'!$A$4:$C$45,3,0),"-")</f>
        <v>-</v>
      </c>
      <c r="Z37" s="187">
        <f t="shared" si="24"/>
        <v>0</v>
      </c>
    </row>
    <row r="38" spans="2:28" ht="16.5">
      <c r="C38" s="539"/>
      <c r="D38" s="425"/>
      <c r="E38" s="535">
        <f>SUMIF(E34:F36, "&gt;0")</f>
        <v>0</v>
      </c>
      <c r="F38" s="498"/>
      <c r="G38" s="528"/>
      <c r="H38" s="528"/>
      <c r="I38" s="535">
        <f>SUMIF(I34:J36, "&gt;0")</f>
        <v>0</v>
      </c>
      <c r="J38" s="498"/>
      <c r="K38" s="528"/>
      <c r="L38" s="528"/>
      <c r="M38" s="535">
        <f>SUMIF(M34:N36, "&gt;0")</f>
        <v>0</v>
      </c>
      <c r="N38" s="536"/>
      <c r="O38" s="528"/>
      <c r="P38" s="528"/>
      <c r="Q38" s="272">
        <f t="shared" si="0"/>
        <v>0</v>
      </c>
      <c r="R38" s="196"/>
      <c r="S38" s="531"/>
      <c r="T38" s="534"/>
      <c r="U38" s="277">
        <f>IFERROR(R38-VLOOKUP(D38,'미니게임_DATA(순)'!$A:$FB,MATCH("rct 20g avg",'미니게임_DATA(순)'!$A$3:$FB$3,0),0),0)</f>
        <v>0</v>
      </c>
      <c r="V38" s="185"/>
      <c r="W38" s="185"/>
      <c r="Y38" s="267" t="str">
        <f>IFERROR(VLOOKUP(Z38,'미니게임_DATA(순)'!$A$4:$C$45,3,0),"-")</f>
        <v>-</v>
      </c>
      <c r="Z38" s="187">
        <f>D38</f>
        <v>0</v>
      </c>
      <c r="AA38" s="187">
        <f>SUM(E38,I38)</f>
        <v>0</v>
      </c>
    </row>
    <row r="39" spans="2:28">
      <c r="C39" s="537" t="s">
        <v>373</v>
      </c>
      <c r="D39" s="180"/>
      <c r="E39" s="275">
        <f>IFERROR(VLOOKUP(D39,'미니게임_DATA(순)'!$A$4:$EV$50,124,0),0)</f>
        <v>0</v>
      </c>
      <c r="F39" s="273"/>
      <c r="G39" s="526">
        <f>RANK(E43,($E$18,$E$23,$E$28,$E$33,E$38,$E$43))</f>
        <v>5</v>
      </c>
      <c r="H39" s="526">
        <f t="shared" ref="H39" si="27">G39</f>
        <v>5</v>
      </c>
      <c r="I39" s="275">
        <f>IFERROR(VLOOKUP(D39,'미니게임_DATA(순)'!$A$4:$EV$50,125,0),0)</f>
        <v>0</v>
      </c>
      <c r="J39" s="273"/>
      <c r="K39" s="526">
        <f>RANK(I43,($I$18,$I$23,$I$28,$I$33,I$38,$I$43))</f>
        <v>5</v>
      </c>
      <c r="L39" s="526">
        <f>RANK(AA43,($AA$18,$AA$23,$AA$28,$AA$33,$AA$38,$AA$43))</f>
        <v>5</v>
      </c>
      <c r="M39" s="275">
        <f>IFERROR(VLOOKUP(D39,'미니게임_DATA(순)'!$A$4:$EV$50,126,0),0)</f>
        <v>0</v>
      </c>
      <c r="N39" s="273"/>
      <c r="O39" s="526">
        <f>RANK(M43,($M$18,$M$23,$M$28,$M$33,$M$38,$M$43))</f>
        <v>5</v>
      </c>
      <c r="P39" s="526">
        <f t="shared" ref="P39" si="28">S39</f>
        <v>5</v>
      </c>
      <c r="Q39" s="273">
        <f t="shared" si="0"/>
        <v>0</v>
      </c>
      <c r="R39" s="274">
        <f>AVERAGE(E39,I39,M39)</f>
        <v>0</v>
      </c>
      <c r="S39" s="529">
        <f>RANK(Q43,($Q$18,$Q$23,$Q$28,$Q$33,$Q$38,$Q$43))</f>
        <v>5</v>
      </c>
      <c r="T39" s="532">
        <f>MAX($Q$18,$Q$23,Q$28,Q$33,Q$38)-Q43</f>
        <v>1551</v>
      </c>
      <c r="U39" s="184">
        <f>IFERROR(R39-VLOOKUP(D39,'미니게임_DATA(순)'!$A:$FB,MATCH("rct 20g avg",'미니게임_DATA(순)'!$A$3:$FB$3,0),0),0)</f>
        <v>0</v>
      </c>
      <c r="W39" s="185">
        <f t="shared" ref="W39:W41" si="29">MAX(E39,I39,M39)</f>
        <v>0</v>
      </c>
      <c r="X39" s="267">
        <f>R39</f>
        <v>0</v>
      </c>
      <c r="Y39" s="267" t="str">
        <f>IFERROR(VLOOKUP(Z39,'미니게임_DATA(순)'!$A$4:$C$45,3,0),"-")</f>
        <v>-</v>
      </c>
      <c r="Z39" s="187">
        <f t="shared" ref="Z39:Z42" si="30">D39</f>
        <v>0</v>
      </c>
    </row>
    <row r="40" spans="2:28">
      <c r="C40" s="538"/>
      <c r="D40" s="188"/>
      <c r="E40" s="275">
        <f>IFERROR(VLOOKUP(D40,'미니게임_DATA(순)'!$A$4:$EV$50,124,0),0)</f>
        <v>0</v>
      </c>
      <c r="F40" s="275"/>
      <c r="G40" s="527"/>
      <c r="H40" s="527"/>
      <c r="I40" s="275">
        <f>IFERROR(VLOOKUP(D40,'미니게임_DATA(순)'!$A$4:$EV$50,125,0),0)</f>
        <v>0</v>
      </c>
      <c r="J40" s="275"/>
      <c r="K40" s="527"/>
      <c r="L40" s="527"/>
      <c r="M40" s="275">
        <f>IFERROR(VLOOKUP(D40,'미니게임_DATA(순)'!$A$4:$EV$50,126,0),0)</f>
        <v>0</v>
      </c>
      <c r="N40" s="275"/>
      <c r="O40" s="527"/>
      <c r="P40" s="527"/>
      <c r="Q40" s="275">
        <f t="shared" si="0"/>
        <v>0</v>
      </c>
      <c r="R40" s="300">
        <f t="shared" ref="R40" si="31">AVERAGE(E40,I40,M40)</f>
        <v>0</v>
      </c>
      <c r="S40" s="530"/>
      <c r="T40" s="533"/>
      <c r="U40" s="190">
        <f>IFERROR(R40-VLOOKUP(D40,'미니게임_DATA(순)'!$A:$FB,MATCH("rct 20g avg",'미니게임_DATA(순)'!$A$3:$FB$3,0),0),0)</f>
        <v>0</v>
      </c>
      <c r="W40" s="185">
        <f t="shared" si="29"/>
        <v>0</v>
      </c>
      <c r="X40" s="267">
        <f>R40</f>
        <v>0</v>
      </c>
      <c r="Y40" s="267" t="str">
        <f>IFERROR(VLOOKUP(Z40,'미니게임_DATA(순)'!$A$4:$C$45,3,0),"-")</f>
        <v>-</v>
      </c>
      <c r="Z40" s="187">
        <f t="shared" si="30"/>
        <v>0</v>
      </c>
    </row>
    <row r="41" spans="2:28">
      <c r="C41" s="538"/>
      <c r="D41" s="188"/>
      <c r="E41" s="275">
        <f>IFERROR(VLOOKUP(D41,'미니게임_DATA(순)'!$A$4:$EV$50,124,0),0)</f>
        <v>0</v>
      </c>
      <c r="F41" s="275"/>
      <c r="G41" s="527"/>
      <c r="H41" s="527"/>
      <c r="I41" s="275">
        <f>IFERROR(VLOOKUP(D41,'미니게임_DATA(순)'!$A$4:$EV$50,125,0),0)</f>
        <v>0</v>
      </c>
      <c r="J41" s="275"/>
      <c r="K41" s="527"/>
      <c r="L41" s="527"/>
      <c r="M41" s="275">
        <f>IFERROR(VLOOKUP(D41,'미니게임_DATA(순)'!$A$4:$EV$50,126,0),0)</f>
        <v>0</v>
      </c>
      <c r="N41" s="275"/>
      <c r="O41" s="527"/>
      <c r="P41" s="527"/>
      <c r="Q41" s="275">
        <f t="shared" si="0"/>
        <v>0</v>
      </c>
      <c r="R41" s="276">
        <f t="shared" ref="R41:R42" si="32">Q41/3</f>
        <v>0</v>
      </c>
      <c r="S41" s="530"/>
      <c r="T41" s="533"/>
      <c r="U41" s="190">
        <f>IFERROR(R41-VLOOKUP(D41,'미니게임_DATA(순)'!$A:$FB,MATCH("rct 20g avg",'미니게임_DATA(순)'!$A$3:$FB$3,0),0),0)</f>
        <v>0</v>
      </c>
      <c r="W41" s="185">
        <f t="shared" si="29"/>
        <v>0</v>
      </c>
      <c r="X41" s="267">
        <f>R41</f>
        <v>0</v>
      </c>
      <c r="Y41" s="267" t="str">
        <f>IFERROR(VLOOKUP(Z41,'미니게임_DATA(순)'!$A$4:$C$45,3,0),"-")</f>
        <v>-</v>
      </c>
      <c r="Z41" s="187">
        <f t="shared" si="30"/>
        <v>0</v>
      </c>
    </row>
    <row r="42" spans="2:28">
      <c r="C42" s="538"/>
      <c r="D42" s="188"/>
      <c r="E42" s="279"/>
      <c r="F42" s="279"/>
      <c r="G42" s="527"/>
      <c r="H42" s="527"/>
      <c r="I42" s="279"/>
      <c r="J42" s="279"/>
      <c r="K42" s="527"/>
      <c r="L42" s="527"/>
      <c r="M42" s="279"/>
      <c r="N42" s="279"/>
      <c r="O42" s="527"/>
      <c r="P42" s="527"/>
      <c r="Q42" s="279">
        <f t="shared" si="0"/>
        <v>0</v>
      </c>
      <c r="R42" s="276">
        <f t="shared" si="32"/>
        <v>0</v>
      </c>
      <c r="S42" s="530"/>
      <c r="T42" s="533"/>
      <c r="U42" s="190">
        <f>IFERROR(R42-VLOOKUP(D42,'미니게임_DATA(순)'!$A:$FB,MATCH("rct 20g avg",'미니게임_DATA(순)'!$A$3:$FB$3,0),0),0)</f>
        <v>0</v>
      </c>
      <c r="W42" s="185"/>
      <c r="Y42" s="267" t="str">
        <f>IFERROR(VLOOKUP(Z42,'미니게임_DATA(순)'!$A$4:$C$45,3,0),"-")</f>
        <v>-</v>
      </c>
      <c r="Z42" s="187">
        <f t="shared" si="30"/>
        <v>0</v>
      </c>
    </row>
    <row r="43" spans="2:28" ht="16.5">
      <c r="C43" s="539"/>
      <c r="D43" s="425"/>
      <c r="E43" s="535">
        <f>SUMIF(E39:F41, "&gt;0")</f>
        <v>0</v>
      </c>
      <c r="F43" s="498"/>
      <c r="G43" s="528"/>
      <c r="H43" s="528"/>
      <c r="I43" s="535">
        <f>SUMIF(I39:J41, "&gt;0")</f>
        <v>0</v>
      </c>
      <c r="J43" s="498"/>
      <c r="K43" s="528"/>
      <c r="L43" s="528"/>
      <c r="M43" s="535">
        <f>SUMIF(M39:N41, "&gt;0")</f>
        <v>0</v>
      </c>
      <c r="N43" s="536"/>
      <c r="O43" s="528"/>
      <c r="P43" s="528"/>
      <c r="Q43" s="272">
        <f t="shared" si="0"/>
        <v>0</v>
      </c>
      <c r="R43" s="196"/>
      <c r="S43" s="531"/>
      <c r="T43" s="534"/>
      <c r="U43" s="277">
        <f>IFERROR(R43-VLOOKUP(D43,'미니게임_DATA(순)'!$A:$FB,MATCH("rct 20g avg",'미니게임_DATA(순)'!$A$3:$FB$3,0),0),0)</f>
        <v>0</v>
      </c>
      <c r="W43" s="185"/>
      <c r="Y43" s="267" t="str">
        <f>IFERROR(VLOOKUP(Z43,'미니게임_DATA(순)'!$A$4:$C$45,3,0),"-")</f>
        <v>-</v>
      </c>
      <c r="Z43" s="187">
        <f>D43</f>
        <v>0</v>
      </c>
      <c r="AA43" s="187">
        <f>SUM(E43,I43)</f>
        <v>0</v>
      </c>
    </row>
  </sheetData>
  <mergeCells count="89">
    <mergeCell ref="B2:B3"/>
    <mergeCell ref="B4:B5"/>
    <mergeCell ref="B6:B9"/>
    <mergeCell ref="D6:E6"/>
    <mergeCell ref="D7:E7"/>
    <mergeCell ref="D8:E8"/>
    <mergeCell ref="D9:E9"/>
    <mergeCell ref="U11:U13"/>
    <mergeCell ref="E12:H12"/>
    <mergeCell ref="I12:L12"/>
    <mergeCell ref="M12:P12"/>
    <mergeCell ref="C14:C18"/>
    <mergeCell ref="G14:G18"/>
    <mergeCell ref="H14:H18"/>
    <mergeCell ref="K14:K18"/>
    <mergeCell ref="L14:L18"/>
    <mergeCell ref="O14:O18"/>
    <mergeCell ref="C11:C13"/>
    <mergeCell ref="D11:D13"/>
    <mergeCell ref="E11:P11"/>
    <mergeCell ref="Q11:Q13"/>
    <mergeCell ref="R11:R13"/>
    <mergeCell ref="S11:T12"/>
    <mergeCell ref="P14:P18"/>
    <mergeCell ref="S14:S18"/>
    <mergeCell ref="T14:T18"/>
    <mergeCell ref="E18:F18"/>
    <mergeCell ref="I18:J18"/>
    <mergeCell ref="M18:N18"/>
    <mergeCell ref="C19:C23"/>
    <mergeCell ref="G19:G23"/>
    <mergeCell ref="H19:H23"/>
    <mergeCell ref="K19:K23"/>
    <mergeCell ref="L19:L23"/>
    <mergeCell ref="P19:P23"/>
    <mergeCell ref="S19:S23"/>
    <mergeCell ref="T19:T23"/>
    <mergeCell ref="E23:F23"/>
    <mergeCell ref="I23:J23"/>
    <mergeCell ref="M23:N23"/>
    <mergeCell ref="O19:O23"/>
    <mergeCell ref="C24:C28"/>
    <mergeCell ref="G24:G28"/>
    <mergeCell ref="H24:H28"/>
    <mergeCell ref="K24:K28"/>
    <mergeCell ref="L24:L28"/>
    <mergeCell ref="P24:P28"/>
    <mergeCell ref="S24:S28"/>
    <mergeCell ref="T24:T28"/>
    <mergeCell ref="E28:F28"/>
    <mergeCell ref="I28:J28"/>
    <mergeCell ref="M28:N28"/>
    <mergeCell ref="O24:O28"/>
    <mergeCell ref="C29:C33"/>
    <mergeCell ref="G29:G33"/>
    <mergeCell ref="H29:H33"/>
    <mergeCell ref="K29:K33"/>
    <mergeCell ref="L29:L33"/>
    <mergeCell ref="P29:P33"/>
    <mergeCell ref="S29:S33"/>
    <mergeCell ref="T29:T33"/>
    <mergeCell ref="E33:F33"/>
    <mergeCell ref="I33:J33"/>
    <mergeCell ref="M33:N33"/>
    <mergeCell ref="O29:O33"/>
    <mergeCell ref="C34:C38"/>
    <mergeCell ref="G34:G38"/>
    <mergeCell ref="H34:H38"/>
    <mergeCell ref="K34:K38"/>
    <mergeCell ref="L34:L38"/>
    <mergeCell ref="P34:P38"/>
    <mergeCell ref="S34:S38"/>
    <mergeCell ref="T34:T38"/>
    <mergeCell ref="E38:F38"/>
    <mergeCell ref="I38:J38"/>
    <mergeCell ref="M38:N38"/>
    <mergeCell ref="O34:O38"/>
    <mergeCell ref="C39:C43"/>
    <mergeCell ref="G39:G43"/>
    <mergeCell ref="H39:H43"/>
    <mergeCell ref="K39:K43"/>
    <mergeCell ref="L39:L43"/>
    <mergeCell ref="P39:P43"/>
    <mergeCell ref="S39:S43"/>
    <mergeCell ref="T39:T43"/>
    <mergeCell ref="E43:F43"/>
    <mergeCell ref="I43:J43"/>
    <mergeCell ref="M43:N43"/>
    <mergeCell ref="O39:O43"/>
  </mergeCells>
  <phoneticPr fontId="2" type="noConversion"/>
  <conditionalFormatting sqref="G44:H1048576 O44:P1048576 K44:L1048576 O12:P13 G1:H13 K1:L13 O1:P10">
    <cfRule type="cellIs" dxfId="389" priority="50" operator="equal">
      <formula>1</formula>
    </cfRule>
  </conditionalFormatting>
  <conditionalFormatting sqref="P14:P33">
    <cfRule type="cellIs" dxfId="388" priority="48" operator="equal">
      <formula>1</formula>
    </cfRule>
  </conditionalFormatting>
  <conditionalFormatting sqref="G14:H14 H15:H33">
    <cfRule type="cellIs" dxfId="387" priority="49" operator="equal">
      <formula>1</formula>
    </cfRule>
  </conditionalFormatting>
  <conditionalFormatting sqref="K14:L14 L15:L18">
    <cfRule type="cellIs" dxfId="386" priority="47" operator="equal">
      <formula>1</formula>
    </cfRule>
  </conditionalFormatting>
  <conditionalFormatting sqref="O14">
    <cfRule type="cellIs" dxfId="385" priority="46" operator="equal">
      <formula>1</formula>
    </cfRule>
  </conditionalFormatting>
  <conditionalFormatting sqref="R5">
    <cfRule type="cellIs" dxfId="384" priority="45" operator="greaterThan">
      <formula>200</formula>
    </cfRule>
  </conditionalFormatting>
  <conditionalFormatting sqref="E2:E5">
    <cfRule type="cellIs" dxfId="383" priority="44" operator="greaterThan">
      <formula>199.5</formula>
    </cfRule>
  </conditionalFormatting>
  <conditionalFormatting sqref="E14:E17 E19:E22 E24:E27 E29:E31 I14:I17 I19:I22 I24:I27 I29:I32 M14:M17 M19:M22 M24:M27 M29:M32">
    <cfRule type="cellIs" dxfId="382" priority="43" operator="greaterThan">
      <formula>199.5</formula>
    </cfRule>
  </conditionalFormatting>
  <conditionalFormatting sqref="H34:H38">
    <cfRule type="cellIs" dxfId="381" priority="42" operator="equal">
      <formula>1</formula>
    </cfRule>
  </conditionalFormatting>
  <conditionalFormatting sqref="P34:P38">
    <cfRule type="cellIs" dxfId="380" priority="41" operator="equal">
      <formula>1</formula>
    </cfRule>
  </conditionalFormatting>
  <conditionalFormatting sqref="P39:P43">
    <cfRule type="cellIs" dxfId="379" priority="40" operator="equal">
      <formula>1</formula>
    </cfRule>
  </conditionalFormatting>
  <conditionalFormatting sqref="H39:H43">
    <cfRule type="cellIs" dxfId="378" priority="39" operator="equal">
      <formula>1</formula>
    </cfRule>
  </conditionalFormatting>
  <conditionalFormatting sqref="G19">
    <cfRule type="cellIs" dxfId="377" priority="38" operator="equal">
      <formula>1</formula>
    </cfRule>
  </conditionalFormatting>
  <conditionalFormatting sqref="G24">
    <cfRule type="cellIs" dxfId="376" priority="37" operator="equal">
      <formula>1</formula>
    </cfRule>
  </conditionalFormatting>
  <conditionalFormatting sqref="G29">
    <cfRule type="cellIs" dxfId="375" priority="36" operator="equal">
      <formula>1</formula>
    </cfRule>
  </conditionalFormatting>
  <conditionalFormatting sqref="G34">
    <cfRule type="cellIs" dxfId="374" priority="35" operator="equal">
      <formula>1</formula>
    </cfRule>
  </conditionalFormatting>
  <conditionalFormatting sqref="G39">
    <cfRule type="cellIs" dxfId="373" priority="34" operator="equal">
      <formula>1</formula>
    </cfRule>
  </conditionalFormatting>
  <conditionalFormatting sqref="K19">
    <cfRule type="cellIs" dxfId="372" priority="33" operator="equal">
      <formula>1</formula>
    </cfRule>
  </conditionalFormatting>
  <conditionalFormatting sqref="K24">
    <cfRule type="cellIs" dxfId="371" priority="32" operator="equal">
      <formula>1</formula>
    </cfRule>
  </conditionalFormatting>
  <conditionalFormatting sqref="K29">
    <cfRule type="cellIs" dxfId="370" priority="31" operator="equal">
      <formula>1</formula>
    </cfRule>
  </conditionalFormatting>
  <conditionalFormatting sqref="K34">
    <cfRule type="cellIs" dxfId="369" priority="30" operator="equal">
      <formula>1</formula>
    </cfRule>
  </conditionalFormatting>
  <conditionalFormatting sqref="K39">
    <cfRule type="cellIs" dxfId="368" priority="29" operator="equal">
      <formula>1</formula>
    </cfRule>
  </conditionalFormatting>
  <conditionalFormatting sqref="L19:L23">
    <cfRule type="cellIs" dxfId="367" priority="28" operator="equal">
      <formula>1</formula>
    </cfRule>
  </conditionalFormatting>
  <conditionalFormatting sqref="L24:L28">
    <cfRule type="cellIs" dxfId="366" priority="27" operator="equal">
      <formula>1</formula>
    </cfRule>
  </conditionalFormatting>
  <conditionalFormatting sqref="L29:L33">
    <cfRule type="cellIs" dxfId="365" priority="26" operator="equal">
      <formula>1</formula>
    </cfRule>
  </conditionalFormatting>
  <conditionalFormatting sqref="L34:L38">
    <cfRule type="cellIs" dxfId="364" priority="25" operator="equal">
      <formula>1</formula>
    </cfRule>
  </conditionalFormatting>
  <conditionalFormatting sqref="L39:L43">
    <cfRule type="cellIs" dxfId="363" priority="24" operator="equal">
      <formula>1</formula>
    </cfRule>
  </conditionalFormatting>
  <conditionalFormatting sqref="O19">
    <cfRule type="cellIs" dxfId="362" priority="23" operator="equal">
      <formula>1</formula>
    </cfRule>
  </conditionalFormatting>
  <conditionalFormatting sqref="O24">
    <cfRule type="cellIs" dxfId="361" priority="22" operator="equal">
      <formula>1</formula>
    </cfRule>
  </conditionalFormatting>
  <conditionalFormatting sqref="O29">
    <cfRule type="cellIs" dxfId="360" priority="21" operator="equal">
      <formula>1</formula>
    </cfRule>
  </conditionalFormatting>
  <conditionalFormatting sqref="O34">
    <cfRule type="cellIs" dxfId="359" priority="20" operator="equal">
      <formula>1</formula>
    </cfRule>
  </conditionalFormatting>
  <conditionalFormatting sqref="O39">
    <cfRule type="cellIs" dxfId="358" priority="19" operator="equal">
      <formula>1</formula>
    </cfRule>
  </conditionalFormatting>
  <conditionalFormatting sqref="E34">
    <cfRule type="cellIs" dxfId="357" priority="18" operator="greaterThan">
      <formula>199.5</formula>
    </cfRule>
  </conditionalFormatting>
  <conditionalFormatting sqref="E35">
    <cfRule type="cellIs" dxfId="356" priority="17" operator="greaterThan">
      <formula>199.5</formula>
    </cfRule>
  </conditionalFormatting>
  <conditionalFormatting sqref="E36">
    <cfRule type="cellIs" dxfId="355" priority="16" operator="greaterThan">
      <formula>199.5</formula>
    </cfRule>
  </conditionalFormatting>
  <conditionalFormatting sqref="E39">
    <cfRule type="cellIs" dxfId="354" priority="15" operator="greaterThan">
      <formula>199.5</formula>
    </cfRule>
  </conditionalFormatting>
  <conditionalFormatting sqref="E40">
    <cfRule type="cellIs" dxfId="353" priority="14" operator="greaterThan">
      <formula>199.5</formula>
    </cfRule>
  </conditionalFormatting>
  <conditionalFormatting sqref="E41">
    <cfRule type="cellIs" dxfId="352" priority="13" operator="greaterThan">
      <formula>199.5</formula>
    </cfRule>
  </conditionalFormatting>
  <conditionalFormatting sqref="I34">
    <cfRule type="cellIs" dxfId="351" priority="12" operator="greaterThan">
      <formula>199.5</formula>
    </cfRule>
  </conditionalFormatting>
  <conditionalFormatting sqref="I35">
    <cfRule type="cellIs" dxfId="350" priority="11" operator="greaterThan">
      <formula>199.5</formula>
    </cfRule>
  </conditionalFormatting>
  <conditionalFormatting sqref="I36">
    <cfRule type="cellIs" dxfId="349" priority="10" operator="greaterThan">
      <formula>199.5</formula>
    </cfRule>
  </conditionalFormatting>
  <conditionalFormatting sqref="I39">
    <cfRule type="cellIs" dxfId="348" priority="9" operator="greaterThan">
      <formula>199.5</formula>
    </cfRule>
  </conditionalFormatting>
  <conditionalFormatting sqref="I40">
    <cfRule type="cellIs" dxfId="347" priority="8" operator="greaterThan">
      <formula>199.5</formula>
    </cfRule>
  </conditionalFormatting>
  <conditionalFormatting sqref="I41">
    <cfRule type="cellIs" dxfId="346" priority="7" operator="greaterThan">
      <formula>199.5</formula>
    </cfRule>
  </conditionalFormatting>
  <conditionalFormatting sqref="M34">
    <cfRule type="cellIs" dxfId="345" priority="6" operator="greaterThan">
      <formula>199.5</formula>
    </cfRule>
  </conditionalFormatting>
  <conditionalFormatting sqref="M35">
    <cfRule type="cellIs" dxfId="344" priority="5" operator="greaterThan">
      <formula>199.5</formula>
    </cfRule>
  </conditionalFormatting>
  <conditionalFormatting sqref="M36">
    <cfRule type="cellIs" dxfId="343" priority="4" operator="greaterThan">
      <formula>199.5</formula>
    </cfRule>
  </conditionalFormatting>
  <conditionalFormatting sqref="M39">
    <cfRule type="cellIs" dxfId="342" priority="3" operator="greaterThan">
      <formula>199.5</formula>
    </cfRule>
  </conditionalFormatting>
  <conditionalFormatting sqref="M40">
    <cfRule type="cellIs" dxfId="341" priority="2" operator="greaterThan">
      <formula>199.5</formula>
    </cfRule>
  </conditionalFormatting>
  <conditionalFormatting sqref="M41">
    <cfRule type="cellIs" dxfId="340" priority="1" operator="greaterThan">
      <formula>199.5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3"/>
  <sheetViews>
    <sheetView showGridLines="0" zoomScale="85" zoomScaleNormal="85" workbookViewId="0">
      <selection activeCell="T66" sqref="T66"/>
    </sheetView>
  </sheetViews>
  <sheetFormatPr defaultColWidth="9" defaultRowHeight="13.5"/>
  <cols>
    <col min="1" max="5" width="9" style="169"/>
    <col min="6" max="8" width="5.375" style="169" customWidth="1"/>
    <col min="9" max="9" width="9" style="169"/>
    <col min="10" max="12" width="5.375" style="169" customWidth="1"/>
    <col min="13" max="13" width="9" style="169"/>
    <col min="14" max="16" width="5.375" style="169" customWidth="1"/>
    <col min="17" max="17" width="7.375" style="170" customWidth="1"/>
    <col min="18" max="18" width="7.375" style="171" customWidth="1"/>
    <col min="19" max="20" width="7.375" style="169" customWidth="1"/>
    <col min="21" max="21" width="9" style="169"/>
    <col min="22" max="23" width="9" style="172" hidden="1" customWidth="1"/>
    <col min="24" max="25" width="9" style="267" hidden="1" customWidth="1"/>
    <col min="26" max="28" width="9" style="169" hidden="1" customWidth="1"/>
    <col min="29" max="16384" width="9" style="169"/>
  </cols>
  <sheetData>
    <row r="2" spans="2:28">
      <c r="B2" s="550" t="s">
        <v>154</v>
      </c>
      <c r="C2" s="166" t="s">
        <v>156</v>
      </c>
      <c r="D2" s="167" t="str">
        <f>VLOOKUP(E2,W14:Z37,4,0)</f>
        <v>조문수</v>
      </c>
      <c r="E2" s="198">
        <f t="array" ref="E2">MAX(IF(Y14:Y38="남",W14:W38))</f>
        <v>215</v>
      </c>
      <c r="F2" s="268"/>
    </row>
    <row r="3" spans="2:28">
      <c r="B3" s="551"/>
      <c r="C3" s="166" t="s">
        <v>157</v>
      </c>
      <c r="D3" s="167" t="str">
        <f>VLOOKUP(E3,W15:Z38,4,0)</f>
        <v>성소라</v>
      </c>
      <c r="E3" s="198">
        <f t="array" ref="E3">MAX(IF(Y15:Y39="여",W15:W39))</f>
        <v>170</v>
      </c>
      <c r="F3" s="268"/>
    </row>
    <row r="4" spans="2:28">
      <c r="B4" s="550" t="s">
        <v>158</v>
      </c>
      <c r="C4" s="166" t="s">
        <v>156</v>
      </c>
      <c r="D4" s="167" t="str">
        <f>VLOOKUP(E4,X14:Z38,3,0)</f>
        <v>조문수</v>
      </c>
      <c r="E4" s="168">
        <f t="array" ref="E4">MAX(IF(Y14:Y38="남",X14:X38))</f>
        <v>180.33333333333334</v>
      </c>
      <c r="F4" s="268"/>
    </row>
    <row r="5" spans="2:28">
      <c r="B5" s="551"/>
      <c r="C5" s="166" t="s">
        <v>157</v>
      </c>
      <c r="D5" s="167" t="str">
        <f>VLOOKUP(E5,X15:Z39,3,0)</f>
        <v>성소라</v>
      </c>
      <c r="E5" s="168">
        <f t="array" ref="E5">MAX(IF(Y14:Y38="여",X14:X38))</f>
        <v>169</v>
      </c>
      <c r="F5" s="268"/>
    </row>
    <row r="6" spans="2:28" ht="16.5">
      <c r="B6" s="550" t="s">
        <v>224</v>
      </c>
      <c r="C6" s="235" t="s">
        <v>154</v>
      </c>
      <c r="D6" s="554" t="s">
        <v>8</v>
      </c>
      <c r="E6" s="472"/>
      <c r="F6" s="269"/>
    </row>
    <row r="7" spans="2:28" ht="16.5">
      <c r="B7" s="552"/>
      <c r="C7" s="235" t="s">
        <v>226</v>
      </c>
      <c r="D7" s="554" t="s">
        <v>38</v>
      </c>
      <c r="E7" s="472"/>
      <c r="F7" s="269"/>
    </row>
    <row r="8" spans="2:28" ht="16.5">
      <c r="B8" s="552"/>
      <c r="C8" s="235" t="s">
        <v>88</v>
      </c>
      <c r="D8" s="554"/>
      <c r="E8" s="498"/>
      <c r="F8" s="270"/>
    </row>
    <row r="9" spans="2:28" ht="16.5">
      <c r="B9" s="553"/>
      <c r="C9" s="235" t="s">
        <v>227</v>
      </c>
      <c r="D9" s="554"/>
      <c r="E9" s="472"/>
      <c r="F9" s="269"/>
      <c r="G9" s="386"/>
    </row>
    <row r="11" spans="2:28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545"/>
      <c r="M11" s="545"/>
      <c r="N11" s="546"/>
      <c r="O11" s="546"/>
      <c r="P11" s="496"/>
      <c r="Q11" s="547" t="s">
        <v>142</v>
      </c>
      <c r="R11" s="548" t="s">
        <v>184</v>
      </c>
      <c r="S11" s="542" t="s">
        <v>169</v>
      </c>
      <c r="T11" s="542"/>
      <c r="U11" s="542" t="s">
        <v>335</v>
      </c>
    </row>
    <row r="12" spans="2:28">
      <c r="C12" s="543"/>
      <c r="D12" s="543"/>
      <c r="E12" s="543">
        <v>1</v>
      </c>
      <c r="F12" s="543"/>
      <c r="G12" s="543"/>
      <c r="H12" s="543"/>
      <c r="I12" s="543">
        <v>2</v>
      </c>
      <c r="J12" s="543"/>
      <c r="K12" s="543"/>
      <c r="L12" s="543"/>
      <c r="M12" s="543">
        <v>3</v>
      </c>
      <c r="N12" s="543"/>
      <c r="O12" s="543"/>
      <c r="P12" s="543"/>
      <c r="Q12" s="547"/>
      <c r="R12" s="549"/>
      <c r="S12" s="542"/>
      <c r="T12" s="542"/>
      <c r="U12" s="542"/>
      <c r="AB12" s="172"/>
    </row>
    <row r="13" spans="2:28" ht="27">
      <c r="C13" s="543"/>
      <c r="D13" s="543"/>
      <c r="E13" s="420" t="s">
        <v>150</v>
      </c>
      <c r="F13" s="419" t="s">
        <v>302</v>
      </c>
      <c r="G13" s="419" t="s">
        <v>152</v>
      </c>
      <c r="H13" s="419" t="s">
        <v>153</v>
      </c>
      <c r="I13" s="420" t="s">
        <v>150</v>
      </c>
      <c r="J13" s="419" t="s">
        <v>302</v>
      </c>
      <c r="K13" s="419" t="s">
        <v>152</v>
      </c>
      <c r="L13" s="419" t="s">
        <v>153</v>
      </c>
      <c r="M13" s="420" t="s">
        <v>150</v>
      </c>
      <c r="N13" s="419" t="s">
        <v>302</v>
      </c>
      <c r="O13" s="419" t="s">
        <v>152</v>
      </c>
      <c r="P13" s="419" t="s">
        <v>153</v>
      </c>
      <c r="Q13" s="547"/>
      <c r="R13" s="549"/>
      <c r="S13" s="419" t="s">
        <v>144</v>
      </c>
      <c r="T13" s="420" t="s">
        <v>168</v>
      </c>
      <c r="U13" s="543"/>
      <c r="W13" s="172" t="s">
        <v>170</v>
      </c>
      <c r="X13" s="267" t="s">
        <v>171</v>
      </c>
    </row>
    <row r="14" spans="2:28">
      <c r="C14" s="537" t="s">
        <v>145</v>
      </c>
      <c r="D14" s="180" t="s">
        <v>11</v>
      </c>
      <c r="E14" s="273">
        <f>IFERROR(VLOOKUP(D14,'미니게임_DATA(순)'!$A$4:$EV$50,127,0),0)</f>
        <v>144</v>
      </c>
      <c r="F14" s="273"/>
      <c r="G14" s="526">
        <f>RANK(E18,($E$18,$E$23,$E$28,$E$33,E$38,$E$43))</f>
        <v>4</v>
      </c>
      <c r="H14" s="526">
        <f>G14</f>
        <v>4</v>
      </c>
      <c r="I14" s="275">
        <f>IFERROR(VLOOKUP(D14,'미니게임_DATA(순)'!$A$4:$EV$50,128,0),0)</f>
        <v>136</v>
      </c>
      <c r="J14" s="273"/>
      <c r="K14" s="526">
        <f>RANK(I18,($I$18,$I$23,$I$28,$I$33,I$38,$I$43))</f>
        <v>2</v>
      </c>
      <c r="L14" s="526">
        <f>RANK(AA18,($AA$18,$AA$23,$AA$28,$AA$33,$AA$38,$AA$43))</f>
        <v>4</v>
      </c>
      <c r="M14" s="275">
        <f>IFERROR(VLOOKUP(D14,'미니게임_DATA(순)'!$A$4:$EV$50,129,0),0)</f>
        <v>145</v>
      </c>
      <c r="N14" s="273"/>
      <c r="O14" s="526">
        <f>RANK(M18,($M$18,$M$23,$M$28,$M$33,$M$38,$M$43))</f>
        <v>3</v>
      </c>
      <c r="P14" s="526">
        <f>S14</f>
        <v>3</v>
      </c>
      <c r="Q14" s="273">
        <f t="shared" ref="Q14:Q43" si="0">E14+I14+M14</f>
        <v>425</v>
      </c>
      <c r="R14" s="274">
        <f>AVERAGE(E14,I14,M14)</f>
        <v>141.66666666666666</v>
      </c>
      <c r="S14" s="529">
        <f>RANK(Q18,($Q$18,$Q$23,$Q$28,$Q$33,$Q$38,$Q$43))</f>
        <v>3</v>
      </c>
      <c r="T14" s="541">
        <f>MAX($Q$18,$Q$23,Q$28,Q$33,Q$38)-Q18</f>
        <v>168</v>
      </c>
      <c r="U14" s="184">
        <f>IFERROR(R14-VLOOKUP(D14,'미니게임_DATA(순)'!$A:$FB,MATCH("rct 20g avg",'미니게임_DATA(순)'!$A$3:$FB$3,0),0),0)</f>
        <v>-16.483333333333348</v>
      </c>
      <c r="W14" s="185">
        <f>MAX(E14,I14,M14)</f>
        <v>145</v>
      </c>
      <c r="X14" s="267">
        <f>R14</f>
        <v>141.66666666666666</v>
      </c>
      <c r="Y14" s="267" t="str">
        <f>VLOOKUP(Z14,'미니게임_DATA(순)'!$A$4:$C$45,3,0)</f>
        <v>남</v>
      </c>
      <c r="Z14" s="187" t="str">
        <f>D14</f>
        <v>박용승</v>
      </c>
    </row>
    <row r="15" spans="2:28">
      <c r="C15" s="538"/>
      <c r="D15" s="188" t="s">
        <v>38</v>
      </c>
      <c r="E15" s="275">
        <f>IFERROR(VLOOKUP(D15,'미니게임_DATA(순)'!$A$4:$EV$50,127,0),0)</f>
        <v>150</v>
      </c>
      <c r="F15" s="275"/>
      <c r="G15" s="527"/>
      <c r="H15" s="527"/>
      <c r="I15" s="275">
        <f>IFERROR(VLOOKUP(D15,'미니게임_DATA(순)'!$A$4:$EV$50,128,0),0)</f>
        <v>200</v>
      </c>
      <c r="J15" s="275"/>
      <c r="K15" s="527"/>
      <c r="L15" s="527"/>
      <c r="M15" s="275">
        <f>IFERROR(VLOOKUP(D15,'미니게임_DATA(순)'!$A$4:$EV$50,129,0),0)</f>
        <v>178</v>
      </c>
      <c r="N15" s="275"/>
      <c r="O15" s="527"/>
      <c r="P15" s="527"/>
      <c r="Q15" s="275">
        <f t="shared" si="0"/>
        <v>528</v>
      </c>
      <c r="R15" s="300">
        <f t="shared" ref="R15:R16" si="1">AVERAGE(E15,I15,M15)</f>
        <v>176</v>
      </c>
      <c r="S15" s="530"/>
      <c r="T15" s="527"/>
      <c r="U15" s="190">
        <f>IFERROR(R15-VLOOKUP(D15,'미니게임_DATA(순)'!$A:$FB,MATCH("rct 20g avg",'미니게임_DATA(순)'!$A$3:$FB$3,0),0),0)</f>
        <v>17.650000000000006</v>
      </c>
      <c r="W15" s="185">
        <f t="shared" ref="W15:W16" si="2">MAX(E15,I15,M15)</f>
        <v>200</v>
      </c>
      <c r="X15" s="267">
        <f t="shared" ref="X15:X16" si="3">R15</f>
        <v>176</v>
      </c>
      <c r="Y15" s="267" t="str">
        <f>VLOOKUP(Z15,'미니게임_DATA(순)'!$A$4:$C$45,3,0)</f>
        <v>남</v>
      </c>
      <c r="Z15" s="187" t="str">
        <f>D15</f>
        <v>이수용</v>
      </c>
    </row>
    <row r="16" spans="2:28">
      <c r="C16" s="538"/>
      <c r="D16" s="188" t="s">
        <v>404</v>
      </c>
      <c r="E16" s="275">
        <f>IFERROR(VLOOKUP(D16,'미니게임_DATA(순)'!$A$4:$EV$50,127,0),0)</f>
        <v>124</v>
      </c>
      <c r="F16" s="275"/>
      <c r="G16" s="527"/>
      <c r="H16" s="527"/>
      <c r="I16" s="275">
        <f>IFERROR(VLOOKUP(D16,'미니게임_DATA(순)'!$A$4:$EV$50,128,0),0)</f>
        <v>118</v>
      </c>
      <c r="J16" s="275"/>
      <c r="K16" s="527"/>
      <c r="L16" s="527"/>
      <c r="M16" s="275">
        <f>IFERROR(VLOOKUP(D16,'미니게임_DATA(순)'!$A$4:$EV$50,129,0),0)</f>
        <v>122</v>
      </c>
      <c r="N16" s="275"/>
      <c r="O16" s="527"/>
      <c r="P16" s="527"/>
      <c r="Q16" s="275">
        <f t="shared" si="0"/>
        <v>364</v>
      </c>
      <c r="R16" s="276">
        <f t="shared" si="1"/>
        <v>121.33333333333333</v>
      </c>
      <c r="S16" s="530"/>
      <c r="T16" s="527"/>
      <c r="U16" s="190">
        <f>IFERROR(R16-VLOOKUP(D16,'미니게임_DATA(순)'!$A:$FB,MATCH("rct 20g avg",'미니게임_DATA(순)'!$A$3:$FB$3,0),0),0)</f>
        <v>-15.61666666666666</v>
      </c>
      <c r="W16" s="185">
        <f t="shared" si="2"/>
        <v>124</v>
      </c>
      <c r="X16" s="267">
        <f t="shared" si="3"/>
        <v>121.33333333333333</v>
      </c>
      <c r="Y16" s="267" t="str">
        <f>VLOOKUP(Z16,'미니게임_DATA(순)'!$A$4:$C$45,3,0)</f>
        <v>남</v>
      </c>
      <c r="Z16" s="187" t="str">
        <f>D16</f>
        <v>남준석</v>
      </c>
    </row>
    <row r="17" spans="3:27">
      <c r="C17" s="538"/>
      <c r="D17" s="191"/>
      <c r="E17" s="279"/>
      <c r="F17" s="279"/>
      <c r="G17" s="527"/>
      <c r="H17" s="527"/>
      <c r="I17" s="279"/>
      <c r="J17" s="279"/>
      <c r="K17" s="527"/>
      <c r="L17" s="527"/>
      <c r="M17" s="279"/>
      <c r="N17" s="279"/>
      <c r="O17" s="527"/>
      <c r="P17" s="527"/>
      <c r="Q17" s="279">
        <f t="shared" si="0"/>
        <v>0</v>
      </c>
      <c r="R17" s="276">
        <f t="shared" ref="R17" si="4">Q17/3</f>
        <v>0</v>
      </c>
      <c r="S17" s="530"/>
      <c r="T17" s="527"/>
      <c r="U17" s="190">
        <f>IFERROR(R17-VLOOKUP(D17,'미니게임_DATA(순)'!$A:$FB,MATCH("rct 20g avg",'미니게임_DATA(순)'!$A$3:$FB$3,0),0),0)</f>
        <v>0</v>
      </c>
      <c r="W17" s="185"/>
      <c r="Z17" s="187"/>
    </row>
    <row r="18" spans="3:27" ht="16.5">
      <c r="C18" s="539"/>
      <c r="D18" s="418"/>
      <c r="E18" s="535">
        <f>SUMIF(E14:F17, "&gt;0")</f>
        <v>418</v>
      </c>
      <c r="F18" s="498"/>
      <c r="G18" s="528"/>
      <c r="H18" s="528"/>
      <c r="I18" s="535">
        <f>SUMIF(I14:J17, "&gt;0")</f>
        <v>454</v>
      </c>
      <c r="J18" s="498"/>
      <c r="K18" s="528"/>
      <c r="L18" s="528"/>
      <c r="M18" s="535">
        <f>SUMIF(M14:N17, "&gt;0")</f>
        <v>445</v>
      </c>
      <c r="N18" s="498"/>
      <c r="O18" s="528"/>
      <c r="P18" s="528"/>
      <c r="Q18" s="272">
        <f t="shared" si="0"/>
        <v>1317</v>
      </c>
      <c r="R18" s="196"/>
      <c r="S18" s="531"/>
      <c r="T18" s="528"/>
      <c r="U18" s="277">
        <f>IFERROR(R18-VLOOKUP(D18,'미니게임_DATA(순)'!$A:$FB,MATCH("rct 20g avg",'미니게임_DATA(순)'!$A$3:$FB$3,0),0),0)</f>
        <v>0</v>
      </c>
      <c r="V18" s="185"/>
      <c r="W18" s="185"/>
      <c r="Z18" s="187">
        <f>D18</f>
        <v>0</v>
      </c>
      <c r="AA18" s="187">
        <f>SUM(E18,I18)</f>
        <v>872</v>
      </c>
    </row>
    <row r="19" spans="3:27">
      <c r="C19" s="537" t="s">
        <v>146</v>
      </c>
      <c r="D19" s="180" t="s">
        <v>8</v>
      </c>
      <c r="E19" s="275">
        <f>IFERROR(VLOOKUP(D19,'미니게임_DATA(순)'!$A$4:$EV$50,127,0),0)</f>
        <v>215</v>
      </c>
      <c r="F19" s="273"/>
      <c r="G19" s="526">
        <f>RANK(E23,($E$18,$E$23,$E$28,$E$33,E$38,$E$43))</f>
        <v>1</v>
      </c>
      <c r="H19" s="526">
        <f t="shared" ref="H19" si="5">G19</f>
        <v>1</v>
      </c>
      <c r="I19" s="275">
        <f>IFERROR(VLOOKUP(D19,'미니게임_DATA(순)'!$A$4:$EV$50,128,0),0)</f>
        <v>149</v>
      </c>
      <c r="J19" s="273"/>
      <c r="K19" s="526">
        <f>RANK(I23,($I$18,$I$23,$I$28,$I$33,I$38,$I$43))</f>
        <v>3</v>
      </c>
      <c r="L19" s="526">
        <f>RANK(AA23,($AA$18,$AA$23,$AA$28,$AA$33,$AA$38,$AA$43))</f>
        <v>1</v>
      </c>
      <c r="M19" s="275">
        <f>IFERROR(VLOOKUP(D19,'미니게임_DATA(순)'!$A$4:$EV$50,129,0),0)</f>
        <v>177</v>
      </c>
      <c r="N19" s="273"/>
      <c r="O19" s="526">
        <f>RANK(M23,($M$18,$M$23,$M$28,$M$33,$M$38,$M$43))</f>
        <v>2</v>
      </c>
      <c r="P19" s="526">
        <f t="shared" ref="P19" si="6">S19</f>
        <v>1</v>
      </c>
      <c r="Q19" s="273">
        <f t="shared" si="0"/>
        <v>541</v>
      </c>
      <c r="R19" s="274">
        <f>AVERAGE(E19,I19,M19)</f>
        <v>180.33333333333334</v>
      </c>
      <c r="S19" s="529">
        <f>RANK(Q23,($Q$18,$Q$23,$Q$28,$Q$33,$Q$38,$Q$43))</f>
        <v>1</v>
      </c>
      <c r="T19" s="532">
        <f>MAX($Q$18,$Q$23,Q$28,Q$33,Q$38)-Q23</f>
        <v>0</v>
      </c>
      <c r="U19" s="184">
        <f>IFERROR(R19-VLOOKUP(D19,'미니게임_DATA(순)'!$A:$FB,MATCH("rct 20g avg",'미니게임_DATA(순)'!$A$3:$FB$3,0),0),0)</f>
        <v>-10.216666666666669</v>
      </c>
      <c r="W19" s="185">
        <f>MAX(E19,I19,M19)</f>
        <v>215</v>
      </c>
      <c r="X19" s="267">
        <f>R19</f>
        <v>180.33333333333334</v>
      </c>
      <c r="Y19" s="267" t="str">
        <f>VLOOKUP(Z19,'미니게임_DATA(순)'!$A$4:$C$45,3,0)</f>
        <v>남</v>
      </c>
      <c r="Z19" s="187" t="str">
        <f>D19</f>
        <v>조문수</v>
      </c>
    </row>
    <row r="20" spans="3:27">
      <c r="C20" s="538"/>
      <c r="D20" s="188" t="s">
        <v>14</v>
      </c>
      <c r="E20" s="275">
        <f>IFERROR(VLOOKUP(D20,'미니게임_DATA(순)'!$A$4:$EV$50,127,0),0)</f>
        <v>164</v>
      </c>
      <c r="F20" s="275"/>
      <c r="G20" s="527"/>
      <c r="H20" s="527"/>
      <c r="I20" s="275">
        <f>IFERROR(VLOOKUP(D20,'미니게임_DATA(순)'!$A$4:$EV$50,128,0),0)</f>
        <v>140</v>
      </c>
      <c r="J20" s="275"/>
      <c r="K20" s="527"/>
      <c r="L20" s="527"/>
      <c r="M20" s="275">
        <f>IFERROR(VLOOKUP(D20,'미니게임_DATA(순)'!$A$4:$EV$50,129,0),0)</f>
        <v>189</v>
      </c>
      <c r="N20" s="275"/>
      <c r="O20" s="527"/>
      <c r="P20" s="527"/>
      <c r="Q20" s="275">
        <f t="shared" si="0"/>
        <v>493</v>
      </c>
      <c r="R20" s="300">
        <f t="shared" ref="R20:R21" si="7">AVERAGE(E20,I20,M20)</f>
        <v>164.33333333333334</v>
      </c>
      <c r="S20" s="530"/>
      <c r="T20" s="533"/>
      <c r="U20" s="190">
        <f>IFERROR(R20-VLOOKUP(D20,'미니게임_DATA(순)'!$A:$FB,MATCH("rct 20g avg",'미니게임_DATA(순)'!$A$3:$FB$3,0),0),0)</f>
        <v>-0.21666666666666856</v>
      </c>
      <c r="W20" s="185">
        <f t="shared" ref="W20:W21" si="8">MAX(E20,I20,M20)</f>
        <v>189</v>
      </c>
      <c r="X20" s="267">
        <f>R20</f>
        <v>164.33333333333334</v>
      </c>
      <c r="Y20" s="267" t="str">
        <f>VLOOKUP(Z20,'미니게임_DATA(순)'!$A$4:$C$45,3,0)</f>
        <v>남</v>
      </c>
      <c r="Z20" s="187" t="str">
        <f>D20</f>
        <v>채승엽</v>
      </c>
    </row>
    <row r="21" spans="3:27">
      <c r="C21" s="538"/>
      <c r="D21" s="188" t="s">
        <v>42</v>
      </c>
      <c r="E21" s="275">
        <f>IFERROR(VLOOKUP(D21,'미니게임_DATA(순)'!$A$4:$EV$50,127,0),0)</f>
        <v>136</v>
      </c>
      <c r="F21" s="275">
        <v>15</v>
      </c>
      <c r="G21" s="527"/>
      <c r="H21" s="527"/>
      <c r="I21" s="275">
        <f>IFERROR(VLOOKUP(D21,'미니게임_DATA(순)'!$A$4:$EV$50,128,0),0)</f>
        <v>148</v>
      </c>
      <c r="J21" s="275">
        <v>15</v>
      </c>
      <c r="K21" s="527"/>
      <c r="L21" s="527"/>
      <c r="M21" s="275">
        <f>IFERROR(VLOOKUP(D21,'미니게임_DATA(순)'!$A$4:$EV$50,129,0),0)</f>
        <v>122</v>
      </c>
      <c r="N21" s="275">
        <v>15</v>
      </c>
      <c r="O21" s="527"/>
      <c r="P21" s="527"/>
      <c r="Q21" s="275">
        <f t="shared" si="0"/>
        <v>406</v>
      </c>
      <c r="R21" s="276">
        <f t="shared" si="7"/>
        <v>135.33333333333334</v>
      </c>
      <c r="S21" s="530"/>
      <c r="T21" s="533"/>
      <c r="U21" s="190">
        <f>IFERROR(R21-VLOOKUP(D21,'미니게임_DATA(순)'!$A:$FB,MATCH("rct 20g avg",'미니게임_DATA(순)'!$A$3:$FB$3,0),0),0)</f>
        <v>2.1333333333333542</v>
      </c>
      <c r="W21" s="185">
        <f t="shared" si="8"/>
        <v>148</v>
      </c>
      <c r="X21" s="267">
        <f>R21</f>
        <v>135.33333333333334</v>
      </c>
      <c r="Y21" s="267" t="str">
        <f>VLOOKUP(Z21,'미니게임_DATA(순)'!$A$4:$C$45,3,0)</f>
        <v>남</v>
      </c>
      <c r="Z21" s="187" t="str">
        <f>D21</f>
        <v>권진현</v>
      </c>
    </row>
    <row r="22" spans="3:27">
      <c r="C22" s="538"/>
      <c r="D22" s="188"/>
      <c r="E22" s="279"/>
      <c r="F22" s="279"/>
      <c r="G22" s="527"/>
      <c r="H22" s="527"/>
      <c r="I22" s="279"/>
      <c r="J22" s="279"/>
      <c r="K22" s="527"/>
      <c r="L22" s="527"/>
      <c r="M22" s="279"/>
      <c r="N22" s="279"/>
      <c r="O22" s="527"/>
      <c r="P22" s="527"/>
      <c r="Q22" s="279">
        <f t="shared" si="0"/>
        <v>0</v>
      </c>
      <c r="R22" s="276">
        <f t="shared" ref="R22" si="9">Q22/3</f>
        <v>0</v>
      </c>
      <c r="S22" s="530"/>
      <c r="T22" s="533"/>
      <c r="U22" s="190">
        <f>IFERROR(R22-VLOOKUP(D22,'미니게임_DATA(순)'!$A:$FB,MATCH("rct 20g avg",'미니게임_DATA(순)'!$A$3:$FB$3,0),0),0)</f>
        <v>0</v>
      </c>
      <c r="W22" s="185"/>
      <c r="Z22" s="187"/>
    </row>
    <row r="23" spans="3:27" ht="16.5">
      <c r="C23" s="539"/>
      <c r="D23" s="418"/>
      <c r="E23" s="535">
        <f>SUMIF(E19:F22, "&gt;0")</f>
        <v>530</v>
      </c>
      <c r="F23" s="498"/>
      <c r="G23" s="528"/>
      <c r="H23" s="528"/>
      <c r="I23" s="535">
        <f>SUMIF(I19:J22, "&gt;0")</f>
        <v>452</v>
      </c>
      <c r="J23" s="498"/>
      <c r="K23" s="528"/>
      <c r="L23" s="528"/>
      <c r="M23" s="535">
        <f>SUMIF(M19:N22, "&gt;0")</f>
        <v>503</v>
      </c>
      <c r="N23" s="498"/>
      <c r="O23" s="528"/>
      <c r="P23" s="528"/>
      <c r="Q23" s="272">
        <f t="shared" si="0"/>
        <v>1485</v>
      </c>
      <c r="R23" s="196"/>
      <c r="S23" s="531"/>
      <c r="T23" s="534"/>
      <c r="U23" s="277">
        <f>IFERROR(R23-VLOOKUP(D23,'미니게임_DATA(순)'!$A:$FB,MATCH("rct 20g avg",'미니게임_DATA(순)'!$A$3:$FB$3,0),0),0)</f>
        <v>0</v>
      </c>
      <c r="V23" s="185"/>
      <c r="W23" s="185"/>
      <c r="Z23" s="187">
        <f t="shared" ref="Z23:Z32" si="10">D23</f>
        <v>0</v>
      </c>
      <c r="AA23" s="187">
        <f>SUM(E23,I23)</f>
        <v>982</v>
      </c>
    </row>
    <row r="24" spans="3:27">
      <c r="C24" s="537" t="s">
        <v>147</v>
      </c>
      <c r="D24" s="180" t="s">
        <v>241</v>
      </c>
      <c r="E24" s="275">
        <f>IFERROR(VLOOKUP(D24,'미니게임_DATA(순)'!$A$4:$EV$50,127,0),0)</f>
        <v>147</v>
      </c>
      <c r="F24" s="273"/>
      <c r="G24" s="526">
        <f>RANK(E28,($E$18,$E$23,$E$28,$E$33,E$38,$E$43))</f>
        <v>2</v>
      </c>
      <c r="H24" s="526">
        <f t="shared" ref="H24" si="11">G24</f>
        <v>2</v>
      </c>
      <c r="I24" s="275">
        <f>IFERROR(VLOOKUP(D24,'미니게임_DATA(순)'!$A$4:$EV$50,128,0),0)</f>
        <v>143</v>
      </c>
      <c r="J24" s="273"/>
      <c r="K24" s="526">
        <f>RANK(I28,($I$18,$I$23,$I$28,$I$33,I$38,$I$43))</f>
        <v>4</v>
      </c>
      <c r="L24" s="526">
        <f>RANK(AA28,($AA$18,$AA$23,$AA$28,$AA$33,$AA$38,$AA$43))</f>
        <v>3</v>
      </c>
      <c r="M24" s="275">
        <f>IFERROR(VLOOKUP(D24,'미니게임_DATA(순)'!$A$4:$EV$50,129,0),0)</f>
        <v>130</v>
      </c>
      <c r="N24" s="273"/>
      <c r="O24" s="526">
        <f>RANK(M28,($M$18,$M$23,$M$28,$M$33,$M$38,$M$43))</f>
        <v>4</v>
      </c>
      <c r="P24" s="526">
        <f t="shared" ref="P24" si="12">S24</f>
        <v>4</v>
      </c>
      <c r="Q24" s="273">
        <f t="shared" si="0"/>
        <v>420</v>
      </c>
      <c r="R24" s="274">
        <f>AVERAGE(E24,I24,M24)</f>
        <v>140</v>
      </c>
      <c r="S24" s="529">
        <f>RANK(Q28,($Q$18,$Q$23,$Q$28,$Q$33,$Q$38,$Q$43))</f>
        <v>4</v>
      </c>
      <c r="T24" s="532">
        <f>MAX($Q$18,$Q$23,Q$28,Q$33,Q$38)-Q28</f>
        <v>175</v>
      </c>
      <c r="U24" s="184">
        <f>IFERROR(R24-VLOOKUP(D24,'미니게임_DATA(순)'!$A:$FB,MATCH("rct 20g avg",'미니게임_DATA(순)'!$A$3:$FB$3,0),0),0)</f>
        <v>-18.150000000000006</v>
      </c>
      <c r="W24" s="185">
        <f t="shared" ref="W24:W27" si="13">MAX(E24,I24,M24)</f>
        <v>147</v>
      </c>
      <c r="X24" s="267">
        <f>R24</f>
        <v>140</v>
      </c>
      <c r="Y24" s="267" t="s">
        <v>156</v>
      </c>
      <c r="Z24" s="187" t="str">
        <f t="shared" si="10"/>
        <v>이유재</v>
      </c>
    </row>
    <row r="25" spans="3:27">
      <c r="C25" s="538"/>
      <c r="D25" s="188" t="s">
        <v>10</v>
      </c>
      <c r="E25" s="275">
        <f>IFERROR(VLOOKUP(D25,'미니게임_DATA(순)'!$A$4:$EV$50,127,0),0)</f>
        <v>191</v>
      </c>
      <c r="F25" s="275"/>
      <c r="G25" s="527"/>
      <c r="H25" s="527"/>
      <c r="I25" s="275">
        <f>IFERROR(VLOOKUP(D25,'미니게임_DATA(순)'!$A$4:$EV$50,128,0),0)</f>
        <v>148</v>
      </c>
      <c r="J25" s="275"/>
      <c r="K25" s="527"/>
      <c r="L25" s="527"/>
      <c r="M25" s="275">
        <f>IFERROR(VLOOKUP(D25,'미니게임_DATA(순)'!$A$4:$EV$50,129,0),0)</f>
        <v>133</v>
      </c>
      <c r="N25" s="275"/>
      <c r="O25" s="527"/>
      <c r="P25" s="527"/>
      <c r="Q25" s="275">
        <f t="shared" si="0"/>
        <v>472</v>
      </c>
      <c r="R25" s="300">
        <f t="shared" ref="R25:R26" si="14">AVERAGE(E25,I25,M25)</f>
        <v>157.33333333333334</v>
      </c>
      <c r="S25" s="530"/>
      <c r="T25" s="533"/>
      <c r="U25" s="190">
        <f>IFERROR(R25-VLOOKUP(D25,'미니게임_DATA(순)'!$A:$FB,MATCH("rct 20g avg",'미니게임_DATA(순)'!$A$3:$FB$3,0),0),0)</f>
        <v>6.4333333333333371</v>
      </c>
      <c r="W25" s="185">
        <f t="shared" si="13"/>
        <v>191</v>
      </c>
      <c r="X25" s="267">
        <f>R25</f>
        <v>157.33333333333334</v>
      </c>
      <c r="Y25" s="267" t="str">
        <f>VLOOKUP(Z25,'미니게임_DATA(순)'!$A$4:$C$45,3,0)</f>
        <v>남</v>
      </c>
      <c r="Z25" s="187" t="str">
        <f t="shared" si="10"/>
        <v>김신철</v>
      </c>
    </row>
    <row r="26" spans="3:27">
      <c r="C26" s="538"/>
      <c r="D26" s="188" t="s">
        <v>17</v>
      </c>
      <c r="E26" s="275">
        <f>IFERROR(VLOOKUP(D26,'미니게임_DATA(순)'!$A$4:$EV$50,127,0),0)</f>
        <v>140</v>
      </c>
      <c r="F26" s="275"/>
      <c r="G26" s="527"/>
      <c r="H26" s="527"/>
      <c r="I26" s="275">
        <f>IFERROR(VLOOKUP(D26,'미니게임_DATA(순)'!$A$4:$EV$50,128,0),0)</f>
        <v>147</v>
      </c>
      <c r="J26" s="275"/>
      <c r="K26" s="527"/>
      <c r="L26" s="527"/>
      <c r="M26" s="275">
        <f>IFERROR(VLOOKUP(D26,'미니게임_DATA(순)'!$A$4:$EV$50,129,0),0)</f>
        <v>131</v>
      </c>
      <c r="N26" s="275"/>
      <c r="O26" s="527"/>
      <c r="P26" s="527"/>
      <c r="Q26" s="275">
        <f t="shared" si="0"/>
        <v>418</v>
      </c>
      <c r="R26" s="276">
        <f t="shared" si="14"/>
        <v>139.33333333333334</v>
      </c>
      <c r="S26" s="530"/>
      <c r="T26" s="533"/>
      <c r="U26" s="190">
        <f>IFERROR(R26-VLOOKUP(D26,'미니게임_DATA(순)'!$A:$FB,MATCH("rct 20g avg",'미니게임_DATA(순)'!$A$3:$FB$3,0),0),0)</f>
        <v>-10.016666666666652</v>
      </c>
      <c r="W26" s="185">
        <f t="shared" si="13"/>
        <v>147</v>
      </c>
      <c r="X26" s="267">
        <f>R26</f>
        <v>139.33333333333334</v>
      </c>
      <c r="Y26" s="267" t="str">
        <f>VLOOKUP(Z26,'미니게임_DATA(순)'!$A$4:$C$45,3,0)</f>
        <v>남</v>
      </c>
      <c r="Z26" s="187" t="str">
        <f t="shared" si="10"/>
        <v>한희용</v>
      </c>
    </row>
    <row r="27" spans="3:27">
      <c r="C27" s="538"/>
      <c r="D27" s="191"/>
      <c r="E27" s="302">
        <f>IFERROR(VLOOKUP(D27,'미니게임_DATA(순)'!$A$4:$EV$45,111,0),0)</f>
        <v>0</v>
      </c>
      <c r="F27" s="279"/>
      <c r="G27" s="527"/>
      <c r="H27" s="527"/>
      <c r="I27" s="302">
        <f>IFERROR(VLOOKUP(D27,'미니게임_DATA(순)'!$A$4:$EV$45,112,0),0)</f>
        <v>0</v>
      </c>
      <c r="J27" s="279"/>
      <c r="K27" s="527"/>
      <c r="L27" s="527"/>
      <c r="M27" s="302">
        <f>IFERROR(VLOOKUP(D27,'미니게임_DATA(순)'!$A$4:$EV$45,113,0),0)</f>
        <v>0</v>
      </c>
      <c r="N27" s="279"/>
      <c r="O27" s="527"/>
      <c r="P27" s="527"/>
      <c r="Q27" s="279">
        <f t="shared" si="0"/>
        <v>0</v>
      </c>
      <c r="R27" s="276">
        <f t="shared" ref="R27" si="15">Q27/3</f>
        <v>0</v>
      </c>
      <c r="S27" s="530"/>
      <c r="T27" s="533"/>
      <c r="U27" s="190">
        <f>IFERROR(R27-VLOOKUP(D27,'미니게임_DATA(순)'!$A:$FB,MATCH("rct 20g avg",'미니게임_DATA(순)'!$A$3:$FB$3,0),0),0)</f>
        <v>0</v>
      </c>
      <c r="W27" s="185">
        <f t="shared" si="13"/>
        <v>0</v>
      </c>
      <c r="X27" s="267">
        <f>R27</f>
        <v>0</v>
      </c>
      <c r="Y27" s="388" t="s">
        <v>239</v>
      </c>
      <c r="Z27" s="187">
        <f t="shared" si="10"/>
        <v>0</v>
      </c>
    </row>
    <row r="28" spans="3:27" ht="16.5">
      <c r="C28" s="539"/>
      <c r="D28" s="418"/>
      <c r="E28" s="535">
        <f>SUMIF(E24:F26, "&gt;0")</f>
        <v>478</v>
      </c>
      <c r="F28" s="498"/>
      <c r="G28" s="528"/>
      <c r="H28" s="528"/>
      <c r="I28" s="535">
        <f>SUMIF(I24:J26, "&gt;0")</f>
        <v>438</v>
      </c>
      <c r="J28" s="498"/>
      <c r="K28" s="528"/>
      <c r="L28" s="528"/>
      <c r="M28" s="535">
        <f>SUMIF(M24:N26, "&gt;0")</f>
        <v>394</v>
      </c>
      <c r="N28" s="498"/>
      <c r="O28" s="528"/>
      <c r="P28" s="528"/>
      <c r="Q28" s="272">
        <f t="shared" si="0"/>
        <v>1310</v>
      </c>
      <c r="R28" s="196"/>
      <c r="S28" s="531"/>
      <c r="T28" s="534"/>
      <c r="U28" s="277">
        <f>IFERROR(R28-VLOOKUP(D28,'미니게임_DATA(순)'!$A:$FB,MATCH("rct 20g avg",'미니게임_DATA(순)'!$A$3:$FB$3,0),0),0)</f>
        <v>0</v>
      </c>
      <c r="V28" s="185"/>
      <c r="W28" s="185"/>
      <c r="Z28" s="187">
        <f t="shared" si="10"/>
        <v>0</v>
      </c>
      <c r="AA28" s="187">
        <f>SUM(E28,I28)</f>
        <v>916</v>
      </c>
    </row>
    <row r="29" spans="3:27">
      <c r="C29" s="537" t="s">
        <v>148</v>
      </c>
      <c r="D29" s="180" t="s">
        <v>37</v>
      </c>
      <c r="E29" s="275">
        <f>IFERROR(VLOOKUP(D29,'미니게임_DATA(순)'!$A$4:$EV$50,127,0),0)</f>
        <v>185</v>
      </c>
      <c r="F29" s="273"/>
      <c r="G29" s="526">
        <f>RANK(E33,($E$18,$E$23,$E$28,$E$33,E$38,$E$43))</f>
        <v>3</v>
      </c>
      <c r="H29" s="526">
        <f t="shared" ref="H29" si="16">G29</f>
        <v>3</v>
      </c>
      <c r="I29" s="275">
        <f>IFERROR(VLOOKUP(D29,'미니게임_DATA(순)'!$A$4:$EV$50,128,0),0)</f>
        <v>169</v>
      </c>
      <c r="J29" s="273"/>
      <c r="K29" s="526">
        <f>RANK(I33,($I$18,$I$23,$I$28,$I$33,I$38,$I$43))</f>
        <v>1</v>
      </c>
      <c r="L29" s="526">
        <f>RANK(AA33,($AA$18,$AA$23,$AA$28,$AA$33,$AA$38,$AA$43))</f>
        <v>2</v>
      </c>
      <c r="M29" s="275">
        <f>IFERROR(VLOOKUP(D29,'미니게임_DATA(순)'!$A$4:$EV$50,129,0),0)</f>
        <v>175</v>
      </c>
      <c r="N29" s="273"/>
      <c r="O29" s="526">
        <f>RANK(M33,($M$18,$M$23,$M$28,$M$33,$M$38,$M$43))</f>
        <v>1</v>
      </c>
      <c r="P29" s="526">
        <f t="shared" ref="P29" si="17">S29</f>
        <v>2</v>
      </c>
      <c r="Q29" s="273">
        <f t="shared" si="0"/>
        <v>529</v>
      </c>
      <c r="R29" s="274">
        <f>AVERAGE(E29,I29,M29)</f>
        <v>176.33333333333334</v>
      </c>
      <c r="S29" s="529">
        <f>RANK(Q33,($Q$18,$Q$23,$Q$28,$Q$33,$Q$38,$Q$43))</f>
        <v>2</v>
      </c>
      <c r="T29" s="532">
        <f>MAX($Q$18,$Q$23,Q$28,Q$33,Q$38)-Q33</f>
        <v>41</v>
      </c>
      <c r="U29" s="184">
        <f>IFERROR(R29-VLOOKUP(D29,'미니게임_DATA(순)'!$A:$FB,MATCH("rct 20g avg",'미니게임_DATA(순)'!$A$3:$FB$3,0),0),0)</f>
        <v>9.2333333333333485</v>
      </c>
      <c r="W29" s="185">
        <f t="shared" ref="W29:W31" si="18">MAX(E29,I29,M29)</f>
        <v>185</v>
      </c>
      <c r="X29" s="267">
        <f>R29</f>
        <v>176.33333333333334</v>
      </c>
      <c r="Y29" s="267" t="str">
        <f>IFERROR(VLOOKUP(Z29,'미니게임_DATA(순)'!$A$4:$C$45,3,0),"-")</f>
        <v>남</v>
      </c>
      <c r="Z29" s="187" t="str">
        <f t="shared" si="10"/>
        <v>최은규</v>
      </c>
    </row>
    <row r="30" spans="3:27">
      <c r="C30" s="538"/>
      <c r="D30" s="188" t="s">
        <v>372</v>
      </c>
      <c r="E30" s="275">
        <f>IFERROR(VLOOKUP(D30,'미니게임_DATA(순)'!$A$4:$EV$50,127,0),0)</f>
        <v>89</v>
      </c>
      <c r="F30" s="275">
        <v>30</v>
      </c>
      <c r="G30" s="527"/>
      <c r="H30" s="527"/>
      <c r="I30" s="275">
        <f>IFERROR(VLOOKUP(D30,'미니게임_DATA(순)'!$A$4:$EV$50,128,0),0)</f>
        <v>93</v>
      </c>
      <c r="J30" s="275">
        <v>30</v>
      </c>
      <c r="K30" s="527"/>
      <c r="L30" s="527"/>
      <c r="M30" s="275">
        <f>IFERROR(VLOOKUP(D30,'미니게임_DATA(순)'!$A$4:$EV$50,129,0),0)</f>
        <v>136</v>
      </c>
      <c r="N30" s="275">
        <v>30</v>
      </c>
      <c r="O30" s="527"/>
      <c r="P30" s="527"/>
      <c r="Q30" s="275">
        <f t="shared" si="0"/>
        <v>318</v>
      </c>
      <c r="R30" s="300">
        <f t="shared" ref="R30" si="19">AVERAGE(E30,I30,M30)</f>
        <v>106</v>
      </c>
      <c r="S30" s="530"/>
      <c r="T30" s="533"/>
      <c r="U30" s="190">
        <f>IFERROR(R30-VLOOKUP(D30,'미니게임_DATA(순)'!$A:$FB,MATCH("rct 20g avg",'미니게임_DATA(순)'!$A$3:$FB$3,0),0),0)</f>
        <v>9.25</v>
      </c>
      <c r="W30" s="185">
        <f t="shared" si="18"/>
        <v>136</v>
      </c>
      <c r="X30" s="267">
        <f>R30</f>
        <v>106</v>
      </c>
      <c r="Y30" s="267" t="str">
        <f>IFERROR(VLOOKUP(Z30,'미니게임_DATA(순)'!$A$4:$C$45,3,0),"-")</f>
        <v>남</v>
      </c>
      <c r="Z30" s="187" t="str">
        <f t="shared" si="10"/>
        <v>이경준</v>
      </c>
    </row>
    <row r="31" spans="3:27">
      <c r="C31" s="538"/>
      <c r="D31" s="188" t="s">
        <v>12</v>
      </c>
      <c r="E31" s="275">
        <f>IFERROR(VLOOKUP(D31,'미니게임_DATA(순)'!$A$4:$EV$50,127,0),0)</f>
        <v>168</v>
      </c>
      <c r="F31" s="275"/>
      <c r="G31" s="527"/>
      <c r="H31" s="527"/>
      <c r="I31" s="275">
        <f>IFERROR(VLOOKUP(D31,'미니게임_DATA(순)'!$A$4:$EV$50,128,0),0)</f>
        <v>169</v>
      </c>
      <c r="J31" s="275"/>
      <c r="K31" s="527"/>
      <c r="L31" s="527"/>
      <c r="M31" s="275">
        <f>IFERROR(VLOOKUP(D31,'미니게임_DATA(순)'!$A$4:$EV$50,129,0),0)</f>
        <v>170</v>
      </c>
      <c r="N31" s="275"/>
      <c r="O31" s="527"/>
      <c r="P31" s="527"/>
      <c r="Q31" s="275">
        <f t="shared" si="0"/>
        <v>507</v>
      </c>
      <c r="R31" s="276">
        <f t="shared" ref="R31:R32" si="20">Q31/3</f>
        <v>169</v>
      </c>
      <c r="S31" s="530"/>
      <c r="T31" s="533"/>
      <c r="U31" s="190">
        <f>IFERROR(R31-VLOOKUP(D31,'미니게임_DATA(순)'!$A:$FB,MATCH("rct 20g avg",'미니게임_DATA(순)'!$A$3:$FB$3,0),0),0)</f>
        <v>19.400000000000006</v>
      </c>
      <c r="W31" s="185">
        <f t="shared" si="18"/>
        <v>170</v>
      </c>
      <c r="X31" s="267">
        <f>R31</f>
        <v>169</v>
      </c>
      <c r="Y31" s="267" t="str">
        <f>IFERROR(VLOOKUP(Z31,'미니게임_DATA(순)'!$A$4:$C$45,3,0),"-")</f>
        <v>여</v>
      </c>
      <c r="Z31" s="187" t="str">
        <f t="shared" si="10"/>
        <v>성소라</v>
      </c>
    </row>
    <row r="32" spans="3:27">
      <c r="C32" s="538"/>
      <c r="D32" s="188"/>
      <c r="E32" s="387">
        <f>IFERROR(VLOOKUP(D32,'미니게임_DATA(순)'!$A$4:$EV$45,115,0),0)</f>
        <v>0</v>
      </c>
      <c r="F32" s="279"/>
      <c r="G32" s="527"/>
      <c r="H32" s="527"/>
      <c r="I32" s="387">
        <f>IFERROR(VLOOKUP(D32,'미니게임_DATA(순)'!$A$4:$EV$45,116,0),0)</f>
        <v>0</v>
      </c>
      <c r="J32" s="279"/>
      <c r="K32" s="527"/>
      <c r="L32" s="527"/>
      <c r="M32" s="387">
        <f>IFERROR(VLOOKUP(D32,'미니게임_DATA(순)'!$A$4:$EV$45,117,0),0)</f>
        <v>0</v>
      </c>
      <c r="N32" s="279"/>
      <c r="O32" s="527"/>
      <c r="P32" s="527"/>
      <c r="Q32" s="279">
        <f t="shared" si="0"/>
        <v>0</v>
      </c>
      <c r="R32" s="276">
        <f t="shared" si="20"/>
        <v>0</v>
      </c>
      <c r="S32" s="530"/>
      <c r="T32" s="533"/>
      <c r="U32" s="190">
        <f>IFERROR(R32-VLOOKUP(D32,'미니게임_DATA(순)'!$A:$FB,MATCH("rct 20g avg",'미니게임_DATA(순)'!$A$3:$FB$3,0),0),0)</f>
        <v>0</v>
      </c>
      <c r="W32" s="185"/>
      <c r="Y32" s="267" t="str">
        <f>IFERROR(VLOOKUP(Z32,'미니게임_DATA(순)'!$A$4:$C$45,3,0),"-")</f>
        <v>-</v>
      </c>
      <c r="Z32" s="187">
        <f t="shared" si="10"/>
        <v>0</v>
      </c>
    </row>
    <row r="33" spans="2:28" ht="16.5">
      <c r="C33" s="539"/>
      <c r="D33" s="418"/>
      <c r="E33" s="535">
        <f>SUMIF(E29:F31, "&gt;0")</f>
        <v>472</v>
      </c>
      <c r="F33" s="498"/>
      <c r="G33" s="528"/>
      <c r="H33" s="528"/>
      <c r="I33" s="535">
        <f>SUMIF(I29:J31, "&gt;0")</f>
        <v>461</v>
      </c>
      <c r="J33" s="498"/>
      <c r="K33" s="528"/>
      <c r="L33" s="528"/>
      <c r="M33" s="535">
        <f>SUMIF(M29:N31, "&gt;0")</f>
        <v>511</v>
      </c>
      <c r="N33" s="536"/>
      <c r="O33" s="528"/>
      <c r="P33" s="528"/>
      <c r="Q33" s="272">
        <f t="shared" si="0"/>
        <v>1444</v>
      </c>
      <c r="R33" s="196"/>
      <c r="S33" s="531"/>
      <c r="T33" s="534"/>
      <c r="U33" s="277">
        <f>IFERROR(R33-VLOOKUP(D33,'미니게임_DATA(순)'!$A:$FB,MATCH("rct 20g avg",'미니게임_DATA(순)'!$A$3:$FB$3,0),0),0)</f>
        <v>0</v>
      </c>
      <c r="V33" s="185"/>
      <c r="W33" s="185"/>
      <c r="Y33" s="267" t="str">
        <f>IFERROR(VLOOKUP(Z33,'미니게임_DATA(순)'!$A$4:$C$45,3,0),"-")</f>
        <v>-</v>
      </c>
      <c r="Z33" s="187">
        <f>D33</f>
        <v>0</v>
      </c>
      <c r="AA33" s="187">
        <f>SUM(E33,I33)</f>
        <v>933</v>
      </c>
    </row>
    <row r="34" spans="2:28">
      <c r="C34" s="537" t="s">
        <v>149</v>
      </c>
      <c r="D34" s="180"/>
      <c r="E34" s="275">
        <f>IFERROR(VLOOKUP(D34,'미니게임_DATA(순)'!$A$4:$EV$50,124,0),0)</f>
        <v>0</v>
      </c>
      <c r="F34" s="273"/>
      <c r="G34" s="526">
        <f>RANK(E38,($E$18,$E$23,$E$28,$E$33,E$38,$E$43))</f>
        <v>5</v>
      </c>
      <c r="H34" s="526">
        <f t="shared" ref="H34" si="21">G34</f>
        <v>5</v>
      </c>
      <c r="I34" s="275">
        <f>IFERROR(VLOOKUP(D34,'미니게임_DATA(순)'!$A$4:$EV$50,125,0),0)</f>
        <v>0</v>
      </c>
      <c r="J34" s="273"/>
      <c r="K34" s="526">
        <f>RANK(I38,($I$18,$I$23,$I$28,$I$33,I$38,$I$43))</f>
        <v>5</v>
      </c>
      <c r="L34" s="526">
        <f>RANK(AA38,($AA$18,$AA$23,$AA$28,$AA$33,$AA$38,$AA$43))</f>
        <v>5</v>
      </c>
      <c r="M34" s="275">
        <f>IFERROR(VLOOKUP(D34,'미니게임_DATA(순)'!$A$4:$EV$50,126,0),0)</f>
        <v>0</v>
      </c>
      <c r="N34" s="273"/>
      <c r="O34" s="526">
        <f>RANK(M38,($M$18,$M$23,$M$28,$M$33,$M$38,$M$43))</f>
        <v>5</v>
      </c>
      <c r="P34" s="526">
        <f t="shared" ref="P34" si="22">S34</f>
        <v>5</v>
      </c>
      <c r="Q34" s="273">
        <f t="shared" si="0"/>
        <v>0</v>
      </c>
      <c r="R34" s="274">
        <f>AVERAGE(E34,I34,M34)</f>
        <v>0</v>
      </c>
      <c r="S34" s="529">
        <f>RANK(Q38,($Q$18,$Q$23,$Q$28,$Q$33,$Q$38,$Q$43))</f>
        <v>5</v>
      </c>
      <c r="T34" s="532">
        <f>MAX($Q$18,$Q$23,Q$28,Q$33,Q$38)-Q38</f>
        <v>1485</v>
      </c>
      <c r="U34" s="184">
        <f>IFERROR(R34-VLOOKUP(D34,'미니게임_DATA(순)'!$A:$FB,MATCH("rct 20g avg",'미니게임_DATA(순)'!$A$3:$FB$3,0),0),0)</f>
        <v>0</v>
      </c>
      <c r="W34" s="185">
        <f t="shared" ref="W34:W35" si="23">MAX(E34,I34,M34)</f>
        <v>0</v>
      </c>
      <c r="X34" s="267">
        <f>R34</f>
        <v>0</v>
      </c>
      <c r="Y34" s="267" t="str">
        <f>IFERROR(VLOOKUP(Z34,'미니게임_DATA(순)'!$A$4:$C$45,3,0),"-")</f>
        <v>-</v>
      </c>
      <c r="Z34" s="187">
        <f t="shared" ref="Z34:Z37" si="24">D34</f>
        <v>0</v>
      </c>
    </row>
    <row r="35" spans="2:28" s="172" customFormat="1">
      <c r="B35" s="169"/>
      <c r="C35" s="538"/>
      <c r="D35" s="188"/>
      <c r="E35" s="275">
        <f>IFERROR(VLOOKUP(D35,'미니게임_DATA(순)'!$A$4:$EV$50,124,0),0)</f>
        <v>0</v>
      </c>
      <c r="F35" s="275"/>
      <c r="G35" s="527"/>
      <c r="H35" s="527"/>
      <c r="I35" s="275">
        <f>IFERROR(VLOOKUP(D35,'미니게임_DATA(순)'!$A$4:$EV$50,125,0),0)</f>
        <v>0</v>
      </c>
      <c r="J35" s="275"/>
      <c r="K35" s="527"/>
      <c r="L35" s="527"/>
      <c r="M35" s="275">
        <f>IFERROR(VLOOKUP(D35,'미니게임_DATA(순)'!$A$4:$EV$50,126,0),0)</f>
        <v>0</v>
      </c>
      <c r="N35" s="275"/>
      <c r="O35" s="527"/>
      <c r="P35" s="527"/>
      <c r="Q35" s="275">
        <f t="shared" si="0"/>
        <v>0</v>
      </c>
      <c r="R35" s="300">
        <f t="shared" ref="R35" si="25">AVERAGE(E35,I35,M35)</f>
        <v>0</v>
      </c>
      <c r="S35" s="530"/>
      <c r="T35" s="533"/>
      <c r="U35" s="190">
        <f>IFERROR(R35-VLOOKUP(D35,'미니게임_DATA(순)'!$A:$FB,MATCH("rct 20g avg",'미니게임_DATA(순)'!$A$3:$FB$3,0),0),0)</f>
        <v>0</v>
      </c>
      <c r="W35" s="185">
        <f t="shared" si="23"/>
        <v>0</v>
      </c>
      <c r="X35" s="267">
        <f>R35</f>
        <v>0</v>
      </c>
      <c r="Y35" s="267" t="str">
        <f>IFERROR(VLOOKUP(Z35,'미니게임_DATA(순)'!$A$4:$C$45,3,0),"-")</f>
        <v>-</v>
      </c>
      <c r="Z35" s="187">
        <f t="shared" si="24"/>
        <v>0</v>
      </c>
      <c r="AA35" s="169"/>
      <c r="AB35" s="169"/>
    </row>
    <row r="36" spans="2:28" s="172" customFormat="1">
      <c r="B36" s="169"/>
      <c r="C36" s="538"/>
      <c r="D36" s="188"/>
      <c r="E36" s="275">
        <f>IFERROR(VLOOKUP(D36,'미니게임_DATA(순)'!$A$4:$EV$50,124,0),0)</f>
        <v>0</v>
      </c>
      <c r="F36" s="275"/>
      <c r="G36" s="527"/>
      <c r="H36" s="527"/>
      <c r="I36" s="275">
        <f>IFERROR(VLOOKUP(D36,'미니게임_DATA(순)'!$A$4:$EV$50,125,0),0)</f>
        <v>0</v>
      </c>
      <c r="J36" s="275"/>
      <c r="K36" s="527"/>
      <c r="L36" s="527"/>
      <c r="M36" s="275">
        <f>IFERROR(VLOOKUP(D36,'미니게임_DATA(순)'!$A$4:$EV$50,126,0),0)</f>
        <v>0</v>
      </c>
      <c r="N36" s="275"/>
      <c r="O36" s="527"/>
      <c r="P36" s="527"/>
      <c r="Q36" s="275">
        <f t="shared" si="0"/>
        <v>0</v>
      </c>
      <c r="R36" s="276">
        <f t="shared" ref="R36:R37" si="26">Q36/3</f>
        <v>0</v>
      </c>
      <c r="S36" s="530"/>
      <c r="T36" s="533"/>
      <c r="U36" s="190">
        <f>IFERROR(R36-VLOOKUP(D36,'미니게임_DATA(순)'!$A:$FB,MATCH("rct 20g avg",'미니게임_DATA(순)'!$A$3:$FB$3,0),0),0)</f>
        <v>0</v>
      </c>
      <c r="W36" s="185"/>
      <c r="X36" s="267">
        <f>R36</f>
        <v>0</v>
      </c>
      <c r="Y36" s="267" t="str">
        <f>IFERROR(VLOOKUP(Z36,'미니게임_DATA(순)'!$A$4:$C$45,3,0),"-")</f>
        <v>-</v>
      </c>
      <c r="Z36" s="187">
        <f t="shared" si="24"/>
        <v>0</v>
      </c>
      <c r="AA36" s="169"/>
      <c r="AB36" s="169"/>
    </row>
    <row r="37" spans="2:28">
      <c r="C37" s="538"/>
      <c r="D37" s="188"/>
      <c r="E37" s="279"/>
      <c r="F37" s="279"/>
      <c r="G37" s="527"/>
      <c r="H37" s="527"/>
      <c r="I37" s="279"/>
      <c r="J37" s="279"/>
      <c r="K37" s="527"/>
      <c r="L37" s="527"/>
      <c r="M37" s="279"/>
      <c r="N37" s="279"/>
      <c r="O37" s="527"/>
      <c r="P37" s="527"/>
      <c r="Q37" s="279">
        <f t="shared" si="0"/>
        <v>0</v>
      </c>
      <c r="R37" s="276">
        <f t="shared" si="26"/>
        <v>0</v>
      </c>
      <c r="S37" s="530"/>
      <c r="T37" s="533"/>
      <c r="U37" s="190">
        <f>IFERROR(R37-VLOOKUP(D37,'미니게임_DATA(순)'!$A:$FB,MATCH("rct 20g avg",'미니게임_DATA(순)'!$A$3:$FB$3,0),0),0)</f>
        <v>0</v>
      </c>
      <c r="W37" s="185"/>
      <c r="Y37" s="267" t="str">
        <f>IFERROR(VLOOKUP(Z37,'미니게임_DATA(순)'!$A$4:$C$45,3,0),"-")</f>
        <v>-</v>
      </c>
      <c r="Z37" s="187">
        <f t="shared" si="24"/>
        <v>0</v>
      </c>
    </row>
    <row r="38" spans="2:28" ht="16.5">
      <c r="C38" s="539"/>
      <c r="D38" s="418"/>
      <c r="E38" s="535">
        <f>SUMIF(E34:F36, "&gt;0")</f>
        <v>0</v>
      </c>
      <c r="F38" s="498"/>
      <c r="G38" s="528"/>
      <c r="H38" s="528"/>
      <c r="I38" s="535">
        <f>SUMIF(I34:J36, "&gt;0")</f>
        <v>0</v>
      </c>
      <c r="J38" s="498"/>
      <c r="K38" s="528"/>
      <c r="L38" s="528"/>
      <c r="M38" s="535">
        <f>SUMIF(M34:N36, "&gt;0")</f>
        <v>0</v>
      </c>
      <c r="N38" s="536"/>
      <c r="O38" s="528"/>
      <c r="P38" s="528"/>
      <c r="Q38" s="272">
        <f t="shared" si="0"/>
        <v>0</v>
      </c>
      <c r="R38" s="196"/>
      <c r="S38" s="531"/>
      <c r="T38" s="534"/>
      <c r="U38" s="277">
        <f>IFERROR(R38-VLOOKUP(D38,'미니게임_DATA(순)'!$A:$FB,MATCH("rct 20g avg",'미니게임_DATA(순)'!$A$3:$FB$3,0),0),0)</f>
        <v>0</v>
      </c>
      <c r="V38" s="185"/>
      <c r="W38" s="185"/>
      <c r="Y38" s="267" t="str">
        <f>IFERROR(VLOOKUP(Z38,'미니게임_DATA(순)'!$A$4:$C$45,3,0),"-")</f>
        <v>-</v>
      </c>
      <c r="Z38" s="187">
        <f>D38</f>
        <v>0</v>
      </c>
      <c r="AA38" s="187">
        <f>SUM(E38,I38)</f>
        <v>0</v>
      </c>
    </row>
    <row r="39" spans="2:28">
      <c r="C39" s="537" t="s">
        <v>373</v>
      </c>
      <c r="D39" s="180"/>
      <c r="E39" s="275">
        <f>IFERROR(VLOOKUP(D39,'미니게임_DATA(순)'!$A$4:$EV$50,124,0),0)</f>
        <v>0</v>
      </c>
      <c r="F39" s="273"/>
      <c r="G39" s="526">
        <f>RANK(E43,($E$18,$E$23,$E$28,$E$33,E$38,$E$43))</f>
        <v>5</v>
      </c>
      <c r="H39" s="526">
        <f t="shared" ref="H39" si="27">G39</f>
        <v>5</v>
      </c>
      <c r="I39" s="275">
        <f>IFERROR(VLOOKUP(D39,'미니게임_DATA(순)'!$A$4:$EV$50,125,0),0)</f>
        <v>0</v>
      </c>
      <c r="J39" s="273"/>
      <c r="K39" s="526">
        <f>RANK(I43,($I$18,$I$23,$I$28,$I$33,I$38,$I$43))</f>
        <v>5</v>
      </c>
      <c r="L39" s="526">
        <f>RANK(AA43,($AA$18,$AA$23,$AA$28,$AA$33,$AA$38,$AA$43))</f>
        <v>5</v>
      </c>
      <c r="M39" s="275">
        <f>IFERROR(VLOOKUP(D39,'미니게임_DATA(순)'!$A$4:$EV$50,126,0),0)</f>
        <v>0</v>
      </c>
      <c r="N39" s="273"/>
      <c r="O39" s="526">
        <f>RANK(M43,($M$18,$M$23,$M$28,$M$33,$M$38,$M$43))</f>
        <v>5</v>
      </c>
      <c r="P39" s="526">
        <f t="shared" ref="P39" si="28">S39</f>
        <v>5</v>
      </c>
      <c r="Q39" s="273">
        <f t="shared" si="0"/>
        <v>0</v>
      </c>
      <c r="R39" s="274">
        <f>AVERAGE(E39,I39,M39)</f>
        <v>0</v>
      </c>
      <c r="S39" s="529">
        <f>RANK(Q43,($Q$18,$Q$23,$Q$28,$Q$33,$Q$38,$Q$43))</f>
        <v>5</v>
      </c>
      <c r="T39" s="532">
        <f>MAX($Q$18,$Q$23,Q$28,Q$33,Q$38)-Q43</f>
        <v>1485</v>
      </c>
      <c r="U39" s="184">
        <f>IFERROR(R39-VLOOKUP(D39,'미니게임_DATA(순)'!$A:$FB,MATCH("rct 20g avg",'미니게임_DATA(순)'!$A$3:$FB$3,0),0),0)</f>
        <v>0</v>
      </c>
      <c r="W39" s="185">
        <f t="shared" ref="W39:W41" si="29">MAX(E39,I39,M39)</f>
        <v>0</v>
      </c>
      <c r="X39" s="267">
        <f>R39</f>
        <v>0</v>
      </c>
      <c r="Y39" s="267" t="str">
        <f>IFERROR(VLOOKUP(Z39,'미니게임_DATA(순)'!$A$4:$C$45,3,0),"-")</f>
        <v>-</v>
      </c>
      <c r="Z39" s="187">
        <f t="shared" ref="Z39:Z42" si="30">D39</f>
        <v>0</v>
      </c>
    </row>
    <row r="40" spans="2:28">
      <c r="C40" s="538"/>
      <c r="D40" s="188"/>
      <c r="E40" s="275">
        <f>IFERROR(VLOOKUP(D40,'미니게임_DATA(순)'!$A$4:$EV$50,124,0),0)</f>
        <v>0</v>
      </c>
      <c r="F40" s="275"/>
      <c r="G40" s="527"/>
      <c r="H40" s="527"/>
      <c r="I40" s="275">
        <f>IFERROR(VLOOKUP(D40,'미니게임_DATA(순)'!$A$4:$EV$50,125,0),0)</f>
        <v>0</v>
      </c>
      <c r="J40" s="275"/>
      <c r="K40" s="527"/>
      <c r="L40" s="527"/>
      <c r="M40" s="275">
        <f>IFERROR(VLOOKUP(D40,'미니게임_DATA(순)'!$A$4:$EV$50,126,0),0)</f>
        <v>0</v>
      </c>
      <c r="N40" s="275"/>
      <c r="O40" s="527"/>
      <c r="P40" s="527"/>
      <c r="Q40" s="275">
        <f t="shared" si="0"/>
        <v>0</v>
      </c>
      <c r="R40" s="300">
        <f t="shared" ref="R40" si="31">AVERAGE(E40,I40,M40)</f>
        <v>0</v>
      </c>
      <c r="S40" s="530"/>
      <c r="T40" s="533"/>
      <c r="U40" s="190">
        <f>IFERROR(R40-VLOOKUP(D40,'미니게임_DATA(순)'!$A:$FB,MATCH("rct 20g avg",'미니게임_DATA(순)'!$A$3:$FB$3,0),0),0)</f>
        <v>0</v>
      </c>
      <c r="W40" s="185">
        <f t="shared" si="29"/>
        <v>0</v>
      </c>
      <c r="X40" s="267">
        <f>R40</f>
        <v>0</v>
      </c>
      <c r="Y40" s="267" t="str">
        <f>IFERROR(VLOOKUP(Z40,'미니게임_DATA(순)'!$A$4:$C$45,3,0),"-")</f>
        <v>-</v>
      </c>
      <c r="Z40" s="187">
        <f t="shared" si="30"/>
        <v>0</v>
      </c>
    </row>
    <row r="41" spans="2:28">
      <c r="C41" s="538"/>
      <c r="D41" s="188"/>
      <c r="E41" s="275">
        <f>IFERROR(VLOOKUP(D41,'미니게임_DATA(순)'!$A$4:$EV$50,124,0),0)</f>
        <v>0</v>
      </c>
      <c r="F41" s="275"/>
      <c r="G41" s="527"/>
      <c r="H41" s="527"/>
      <c r="I41" s="275">
        <f>IFERROR(VLOOKUP(D41,'미니게임_DATA(순)'!$A$4:$EV$50,125,0),0)</f>
        <v>0</v>
      </c>
      <c r="J41" s="275"/>
      <c r="K41" s="527"/>
      <c r="L41" s="527"/>
      <c r="M41" s="275">
        <f>IFERROR(VLOOKUP(D41,'미니게임_DATA(순)'!$A$4:$EV$50,126,0),0)</f>
        <v>0</v>
      </c>
      <c r="N41" s="275"/>
      <c r="O41" s="527"/>
      <c r="P41" s="527"/>
      <c r="Q41" s="275">
        <f t="shared" si="0"/>
        <v>0</v>
      </c>
      <c r="R41" s="276">
        <f t="shared" ref="R41:R42" si="32">Q41/3</f>
        <v>0</v>
      </c>
      <c r="S41" s="530"/>
      <c r="T41" s="533"/>
      <c r="U41" s="190">
        <f>IFERROR(R41-VLOOKUP(D41,'미니게임_DATA(순)'!$A:$FB,MATCH("rct 20g avg",'미니게임_DATA(순)'!$A$3:$FB$3,0),0),0)</f>
        <v>0</v>
      </c>
      <c r="W41" s="185">
        <f t="shared" si="29"/>
        <v>0</v>
      </c>
      <c r="X41" s="267">
        <f>R41</f>
        <v>0</v>
      </c>
      <c r="Y41" s="267" t="str">
        <f>IFERROR(VLOOKUP(Z41,'미니게임_DATA(순)'!$A$4:$C$45,3,0),"-")</f>
        <v>-</v>
      </c>
      <c r="Z41" s="187">
        <f t="shared" si="30"/>
        <v>0</v>
      </c>
    </row>
    <row r="42" spans="2:28">
      <c r="C42" s="538"/>
      <c r="D42" s="188"/>
      <c r="E42" s="279"/>
      <c r="F42" s="279"/>
      <c r="G42" s="527"/>
      <c r="H42" s="527"/>
      <c r="I42" s="279"/>
      <c r="J42" s="279"/>
      <c r="K42" s="527"/>
      <c r="L42" s="527"/>
      <c r="M42" s="279"/>
      <c r="N42" s="279"/>
      <c r="O42" s="527"/>
      <c r="P42" s="527"/>
      <c r="Q42" s="279">
        <f t="shared" si="0"/>
        <v>0</v>
      </c>
      <c r="R42" s="276">
        <f t="shared" si="32"/>
        <v>0</v>
      </c>
      <c r="S42" s="530"/>
      <c r="T42" s="533"/>
      <c r="U42" s="190">
        <f>IFERROR(R42-VLOOKUP(D42,'미니게임_DATA(순)'!$A:$FB,MATCH("rct 20g avg",'미니게임_DATA(순)'!$A$3:$FB$3,0),0),0)</f>
        <v>0</v>
      </c>
      <c r="W42" s="185"/>
      <c r="Y42" s="267" t="str">
        <f>IFERROR(VLOOKUP(Z42,'미니게임_DATA(순)'!$A$4:$C$45,3,0),"-")</f>
        <v>-</v>
      </c>
      <c r="Z42" s="187">
        <f t="shared" si="30"/>
        <v>0</v>
      </c>
    </row>
    <row r="43" spans="2:28" ht="16.5">
      <c r="C43" s="539"/>
      <c r="D43" s="418"/>
      <c r="E43" s="535">
        <f>SUMIF(E39:F41, "&gt;0")</f>
        <v>0</v>
      </c>
      <c r="F43" s="498"/>
      <c r="G43" s="528"/>
      <c r="H43" s="528"/>
      <c r="I43" s="535">
        <f>SUMIF(I39:J41, "&gt;0")</f>
        <v>0</v>
      </c>
      <c r="J43" s="498"/>
      <c r="K43" s="528"/>
      <c r="L43" s="528"/>
      <c r="M43" s="535">
        <f>SUMIF(M39:N41, "&gt;0")</f>
        <v>0</v>
      </c>
      <c r="N43" s="536"/>
      <c r="O43" s="528"/>
      <c r="P43" s="528"/>
      <c r="Q43" s="272">
        <f t="shared" si="0"/>
        <v>0</v>
      </c>
      <c r="R43" s="196"/>
      <c r="S43" s="531"/>
      <c r="T43" s="534"/>
      <c r="U43" s="277">
        <f>IFERROR(R43-VLOOKUP(D43,'미니게임_DATA(순)'!$A:$FB,MATCH("rct 20g avg",'미니게임_DATA(순)'!$A$3:$FB$3,0),0),0)</f>
        <v>0</v>
      </c>
      <c r="W43" s="185"/>
      <c r="Y43" s="267" t="str">
        <f>IFERROR(VLOOKUP(Z43,'미니게임_DATA(순)'!$A$4:$C$45,3,0),"-")</f>
        <v>-</v>
      </c>
      <c r="Z43" s="187">
        <f>D43</f>
        <v>0</v>
      </c>
      <c r="AA43" s="187">
        <f>SUM(E43,I43)</f>
        <v>0</v>
      </c>
    </row>
  </sheetData>
  <mergeCells count="89">
    <mergeCell ref="P39:P43"/>
    <mergeCell ref="S39:S43"/>
    <mergeCell ref="T39:T43"/>
    <mergeCell ref="E43:F43"/>
    <mergeCell ref="I43:J43"/>
    <mergeCell ref="M43:N43"/>
    <mergeCell ref="O39:O43"/>
    <mergeCell ref="C39:C43"/>
    <mergeCell ref="G39:G43"/>
    <mergeCell ref="H39:H43"/>
    <mergeCell ref="K39:K43"/>
    <mergeCell ref="L39:L43"/>
    <mergeCell ref="P34:P38"/>
    <mergeCell ref="S34:S38"/>
    <mergeCell ref="T34:T38"/>
    <mergeCell ref="E38:F38"/>
    <mergeCell ref="I38:J38"/>
    <mergeCell ref="M38:N38"/>
    <mergeCell ref="O34:O38"/>
    <mergeCell ref="C34:C38"/>
    <mergeCell ref="G34:G38"/>
    <mergeCell ref="H34:H38"/>
    <mergeCell ref="K34:K38"/>
    <mergeCell ref="L34:L38"/>
    <mergeCell ref="P29:P33"/>
    <mergeCell ref="S29:S33"/>
    <mergeCell ref="T29:T33"/>
    <mergeCell ref="E33:F33"/>
    <mergeCell ref="I33:J33"/>
    <mergeCell ref="M33:N33"/>
    <mergeCell ref="O29:O33"/>
    <mergeCell ref="C29:C33"/>
    <mergeCell ref="G29:G33"/>
    <mergeCell ref="H29:H33"/>
    <mergeCell ref="K29:K33"/>
    <mergeCell ref="L29:L33"/>
    <mergeCell ref="P24:P28"/>
    <mergeCell ref="S24:S28"/>
    <mergeCell ref="T24:T28"/>
    <mergeCell ref="E28:F28"/>
    <mergeCell ref="I28:J28"/>
    <mergeCell ref="M28:N28"/>
    <mergeCell ref="O24:O28"/>
    <mergeCell ref="C24:C28"/>
    <mergeCell ref="G24:G28"/>
    <mergeCell ref="H24:H28"/>
    <mergeCell ref="K24:K28"/>
    <mergeCell ref="L24:L28"/>
    <mergeCell ref="P19:P23"/>
    <mergeCell ref="S19:S23"/>
    <mergeCell ref="T19:T23"/>
    <mergeCell ref="E23:F23"/>
    <mergeCell ref="I23:J23"/>
    <mergeCell ref="M23:N23"/>
    <mergeCell ref="O19:O23"/>
    <mergeCell ref="C19:C23"/>
    <mergeCell ref="G19:G23"/>
    <mergeCell ref="H19:H23"/>
    <mergeCell ref="K19:K23"/>
    <mergeCell ref="L19:L23"/>
    <mergeCell ref="P14:P18"/>
    <mergeCell ref="S14:S18"/>
    <mergeCell ref="T14:T18"/>
    <mergeCell ref="E18:F18"/>
    <mergeCell ref="I18:J18"/>
    <mergeCell ref="M18:N18"/>
    <mergeCell ref="U11:U13"/>
    <mergeCell ref="E12:H12"/>
    <mergeCell ref="I12:L12"/>
    <mergeCell ref="M12:P12"/>
    <mergeCell ref="C14:C18"/>
    <mergeCell ref="G14:G18"/>
    <mergeCell ref="H14:H18"/>
    <mergeCell ref="K14:K18"/>
    <mergeCell ref="L14:L18"/>
    <mergeCell ref="O14:O18"/>
    <mergeCell ref="C11:C13"/>
    <mergeCell ref="D11:D13"/>
    <mergeCell ref="E11:P11"/>
    <mergeCell ref="Q11:Q13"/>
    <mergeCell ref="R11:R13"/>
    <mergeCell ref="S11:T12"/>
    <mergeCell ref="B2:B3"/>
    <mergeCell ref="B4:B5"/>
    <mergeCell ref="B6:B9"/>
    <mergeCell ref="D6:E6"/>
    <mergeCell ref="D7:E7"/>
    <mergeCell ref="D8:E8"/>
    <mergeCell ref="D9:E9"/>
  </mergeCells>
  <phoneticPr fontId="2" type="noConversion"/>
  <conditionalFormatting sqref="G44:H1048576 O44:P1048576 K44:L1048576 O12:P13 G1:H13 K1:L13 O1:P10">
    <cfRule type="cellIs" dxfId="339" priority="50" operator="equal">
      <formula>1</formula>
    </cfRule>
  </conditionalFormatting>
  <conditionalFormatting sqref="P14:P33">
    <cfRule type="cellIs" dxfId="338" priority="48" operator="equal">
      <formula>1</formula>
    </cfRule>
  </conditionalFormatting>
  <conditionalFormatting sqref="G14:H14 H15:H33">
    <cfRule type="cellIs" dxfId="337" priority="49" operator="equal">
      <formula>1</formula>
    </cfRule>
  </conditionalFormatting>
  <conditionalFormatting sqref="K14:L14 L15:L18">
    <cfRule type="cellIs" dxfId="336" priority="47" operator="equal">
      <formula>1</formula>
    </cfRule>
  </conditionalFormatting>
  <conditionalFormatting sqref="O14">
    <cfRule type="cellIs" dxfId="335" priority="46" operator="equal">
      <formula>1</formula>
    </cfRule>
  </conditionalFormatting>
  <conditionalFormatting sqref="R5">
    <cfRule type="cellIs" dxfId="334" priority="45" operator="greaterThan">
      <formula>200</formula>
    </cfRule>
  </conditionalFormatting>
  <conditionalFormatting sqref="E2:E5">
    <cfRule type="cellIs" dxfId="333" priority="44" operator="greaterThan">
      <formula>199.5</formula>
    </cfRule>
  </conditionalFormatting>
  <conditionalFormatting sqref="E14:E17 E19:E22 E24:E27 E29:E31 I14:I17 I19:I22 I24:I27 I29:I32 M14:M17 M19:M22 M24:M27 M29:M32">
    <cfRule type="cellIs" dxfId="332" priority="43" operator="greaterThan">
      <formula>199.5</formula>
    </cfRule>
  </conditionalFormatting>
  <conditionalFormatting sqref="H34:H38">
    <cfRule type="cellIs" dxfId="331" priority="42" operator="equal">
      <formula>1</formula>
    </cfRule>
  </conditionalFormatting>
  <conditionalFormatting sqref="P34:P38">
    <cfRule type="cellIs" dxfId="330" priority="41" operator="equal">
      <formula>1</formula>
    </cfRule>
  </conditionalFormatting>
  <conditionalFormatting sqref="P39:P43">
    <cfRule type="cellIs" dxfId="329" priority="40" operator="equal">
      <formula>1</formula>
    </cfRule>
  </conditionalFormatting>
  <conditionalFormatting sqref="H39:H43">
    <cfRule type="cellIs" dxfId="328" priority="39" operator="equal">
      <formula>1</formula>
    </cfRule>
  </conditionalFormatting>
  <conditionalFormatting sqref="G19">
    <cfRule type="cellIs" dxfId="327" priority="38" operator="equal">
      <formula>1</formula>
    </cfRule>
  </conditionalFormatting>
  <conditionalFormatting sqref="G24">
    <cfRule type="cellIs" dxfId="326" priority="37" operator="equal">
      <formula>1</formula>
    </cfRule>
  </conditionalFormatting>
  <conditionalFormatting sqref="G29">
    <cfRule type="cellIs" dxfId="325" priority="36" operator="equal">
      <formula>1</formula>
    </cfRule>
  </conditionalFormatting>
  <conditionalFormatting sqref="G34">
    <cfRule type="cellIs" dxfId="324" priority="35" operator="equal">
      <formula>1</formula>
    </cfRule>
  </conditionalFormatting>
  <conditionalFormatting sqref="G39">
    <cfRule type="cellIs" dxfId="323" priority="34" operator="equal">
      <formula>1</formula>
    </cfRule>
  </conditionalFormatting>
  <conditionalFormatting sqref="K19">
    <cfRule type="cellIs" dxfId="322" priority="33" operator="equal">
      <formula>1</formula>
    </cfRule>
  </conditionalFormatting>
  <conditionalFormatting sqref="K24">
    <cfRule type="cellIs" dxfId="321" priority="32" operator="equal">
      <formula>1</formula>
    </cfRule>
  </conditionalFormatting>
  <conditionalFormatting sqref="K29">
    <cfRule type="cellIs" dxfId="320" priority="31" operator="equal">
      <formula>1</formula>
    </cfRule>
  </conditionalFormatting>
  <conditionalFormatting sqref="K34">
    <cfRule type="cellIs" dxfId="319" priority="30" operator="equal">
      <formula>1</formula>
    </cfRule>
  </conditionalFormatting>
  <conditionalFormatting sqref="K39">
    <cfRule type="cellIs" dxfId="318" priority="29" operator="equal">
      <formula>1</formula>
    </cfRule>
  </conditionalFormatting>
  <conditionalFormatting sqref="L19:L23">
    <cfRule type="cellIs" dxfId="317" priority="28" operator="equal">
      <formula>1</formula>
    </cfRule>
  </conditionalFormatting>
  <conditionalFormatting sqref="L24:L28">
    <cfRule type="cellIs" dxfId="316" priority="27" operator="equal">
      <formula>1</formula>
    </cfRule>
  </conditionalFormatting>
  <conditionalFormatting sqref="L29:L33">
    <cfRule type="cellIs" dxfId="315" priority="26" operator="equal">
      <formula>1</formula>
    </cfRule>
  </conditionalFormatting>
  <conditionalFormatting sqref="L34:L38">
    <cfRule type="cellIs" dxfId="314" priority="25" operator="equal">
      <formula>1</formula>
    </cfRule>
  </conditionalFormatting>
  <conditionalFormatting sqref="L39:L43">
    <cfRule type="cellIs" dxfId="313" priority="24" operator="equal">
      <formula>1</formula>
    </cfRule>
  </conditionalFormatting>
  <conditionalFormatting sqref="O19">
    <cfRule type="cellIs" dxfId="312" priority="23" operator="equal">
      <formula>1</formula>
    </cfRule>
  </conditionalFormatting>
  <conditionalFormatting sqref="O24">
    <cfRule type="cellIs" dxfId="311" priority="22" operator="equal">
      <formula>1</formula>
    </cfRule>
  </conditionalFormatting>
  <conditionalFormatting sqref="O29">
    <cfRule type="cellIs" dxfId="310" priority="21" operator="equal">
      <formula>1</formula>
    </cfRule>
  </conditionalFormatting>
  <conditionalFormatting sqref="O34">
    <cfRule type="cellIs" dxfId="309" priority="20" operator="equal">
      <formula>1</formula>
    </cfRule>
  </conditionalFormatting>
  <conditionalFormatting sqref="O39">
    <cfRule type="cellIs" dxfId="308" priority="19" operator="equal">
      <formula>1</formula>
    </cfRule>
  </conditionalFormatting>
  <conditionalFormatting sqref="E34">
    <cfRule type="cellIs" dxfId="307" priority="18" operator="greaterThan">
      <formula>199.5</formula>
    </cfRule>
  </conditionalFormatting>
  <conditionalFormatting sqref="E35">
    <cfRule type="cellIs" dxfId="306" priority="17" operator="greaterThan">
      <formula>199.5</formula>
    </cfRule>
  </conditionalFormatting>
  <conditionalFormatting sqref="E36">
    <cfRule type="cellIs" dxfId="305" priority="16" operator="greaterThan">
      <formula>199.5</formula>
    </cfRule>
  </conditionalFormatting>
  <conditionalFormatting sqref="E39">
    <cfRule type="cellIs" dxfId="304" priority="15" operator="greaterThan">
      <formula>199.5</formula>
    </cfRule>
  </conditionalFormatting>
  <conditionalFormatting sqref="E40">
    <cfRule type="cellIs" dxfId="303" priority="14" operator="greaterThan">
      <formula>199.5</formula>
    </cfRule>
  </conditionalFormatting>
  <conditionalFormatting sqref="E41">
    <cfRule type="cellIs" dxfId="302" priority="13" operator="greaterThan">
      <formula>199.5</formula>
    </cfRule>
  </conditionalFormatting>
  <conditionalFormatting sqref="I34">
    <cfRule type="cellIs" dxfId="301" priority="12" operator="greaterThan">
      <formula>199.5</formula>
    </cfRule>
  </conditionalFormatting>
  <conditionalFormatting sqref="I35">
    <cfRule type="cellIs" dxfId="300" priority="11" operator="greaterThan">
      <formula>199.5</formula>
    </cfRule>
  </conditionalFormatting>
  <conditionalFormatting sqref="I36">
    <cfRule type="cellIs" dxfId="299" priority="10" operator="greaterThan">
      <formula>199.5</formula>
    </cfRule>
  </conditionalFormatting>
  <conditionalFormatting sqref="I39">
    <cfRule type="cellIs" dxfId="298" priority="9" operator="greaterThan">
      <formula>199.5</formula>
    </cfRule>
  </conditionalFormatting>
  <conditionalFormatting sqref="I40">
    <cfRule type="cellIs" dxfId="297" priority="8" operator="greaterThan">
      <formula>199.5</formula>
    </cfRule>
  </conditionalFormatting>
  <conditionalFormatting sqref="I41">
    <cfRule type="cellIs" dxfId="296" priority="7" operator="greaterThan">
      <formula>199.5</formula>
    </cfRule>
  </conditionalFormatting>
  <conditionalFormatting sqref="M34">
    <cfRule type="cellIs" dxfId="295" priority="6" operator="greaterThan">
      <formula>199.5</formula>
    </cfRule>
  </conditionalFormatting>
  <conditionalFormatting sqref="M35">
    <cfRule type="cellIs" dxfId="294" priority="5" operator="greaterThan">
      <formula>199.5</formula>
    </cfRule>
  </conditionalFormatting>
  <conditionalFormatting sqref="M36">
    <cfRule type="cellIs" dxfId="293" priority="4" operator="greaterThan">
      <formula>199.5</formula>
    </cfRule>
  </conditionalFormatting>
  <conditionalFormatting sqref="M39">
    <cfRule type="cellIs" dxfId="292" priority="3" operator="greaterThan">
      <formula>199.5</formula>
    </cfRule>
  </conditionalFormatting>
  <conditionalFormatting sqref="M40">
    <cfRule type="cellIs" dxfId="291" priority="2" operator="greaterThan">
      <formula>199.5</formula>
    </cfRule>
  </conditionalFormatting>
  <conditionalFormatting sqref="M41">
    <cfRule type="cellIs" dxfId="290" priority="1" operator="greaterThan">
      <formula>199.5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3"/>
  <sheetViews>
    <sheetView showGridLines="0" zoomScale="85" zoomScaleNormal="85" workbookViewId="0">
      <selection activeCell="L63" sqref="L63"/>
    </sheetView>
  </sheetViews>
  <sheetFormatPr defaultColWidth="9" defaultRowHeight="13.5"/>
  <cols>
    <col min="1" max="5" width="9" style="169"/>
    <col min="6" max="8" width="5.375" style="169" customWidth="1"/>
    <col min="9" max="9" width="9" style="169"/>
    <col min="10" max="12" width="5.375" style="169" customWidth="1"/>
    <col min="13" max="13" width="9" style="169"/>
    <col min="14" max="16" width="5.375" style="169" customWidth="1"/>
    <col min="17" max="17" width="7.375" style="170" customWidth="1"/>
    <col min="18" max="18" width="7.375" style="171" customWidth="1"/>
    <col min="19" max="20" width="7.375" style="169" customWidth="1"/>
    <col min="21" max="21" width="9" style="169"/>
    <col min="22" max="23" width="9" style="172" hidden="1" customWidth="1"/>
    <col min="24" max="25" width="9" style="267" hidden="1" customWidth="1"/>
    <col min="26" max="27" width="9" style="169" hidden="1" customWidth="1"/>
    <col min="28" max="28" width="9" style="169" customWidth="1"/>
    <col min="29" max="16384" width="9" style="169"/>
  </cols>
  <sheetData>
    <row r="2" spans="2:28">
      <c r="B2" s="550" t="s">
        <v>154</v>
      </c>
      <c r="C2" s="166" t="s">
        <v>156</v>
      </c>
      <c r="D2" s="167" t="str">
        <f>VLOOKUP(E2,W14:Z37,4,0)</f>
        <v>박용승</v>
      </c>
      <c r="E2" s="198">
        <f t="array" ref="E2">MAX(IF(Y14:Y38="남",W14:W38))</f>
        <v>201</v>
      </c>
      <c r="F2" s="268"/>
    </row>
    <row r="3" spans="2:28">
      <c r="B3" s="551"/>
      <c r="C3" s="166" t="s">
        <v>157</v>
      </c>
      <c r="D3" s="167" t="str">
        <f>VLOOKUP(E3,W15:Z38,4,0)</f>
        <v>성소라</v>
      </c>
      <c r="E3" s="198">
        <f t="array" ref="E3">MAX(IF(Y15:Y39="여",W15:W39))</f>
        <v>183</v>
      </c>
      <c r="F3" s="268"/>
    </row>
    <row r="4" spans="2:28">
      <c r="B4" s="550" t="s">
        <v>158</v>
      </c>
      <c r="C4" s="166" t="s">
        <v>156</v>
      </c>
      <c r="D4" s="167" t="str">
        <f>VLOOKUP(E4,X14:Z38,3,0)</f>
        <v>최은규</v>
      </c>
      <c r="E4" s="168">
        <f t="array" ref="E4">MAX(IF(Y14:Y38="남",X14:X38))</f>
        <v>181</v>
      </c>
      <c r="F4" s="268"/>
    </row>
    <row r="5" spans="2:28">
      <c r="B5" s="551"/>
      <c r="C5" s="166" t="s">
        <v>157</v>
      </c>
      <c r="D5" s="167" t="str">
        <f>VLOOKUP(E5,X15:Z39,3,0)</f>
        <v>성소라</v>
      </c>
      <c r="E5" s="168">
        <f t="array" ref="E5">MAX(IF(Y14:Y38="여",X14:X38))</f>
        <v>161</v>
      </c>
      <c r="F5" s="268"/>
    </row>
    <row r="6" spans="2:28" ht="16.5">
      <c r="B6" s="550" t="s">
        <v>224</v>
      </c>
      <c r="C6" s="235" t="s">
        <v>154</v>
      </c>
      <c r="D6" s="554"/>
      <c r="E6" s="472"/>
      <c r="F6" s="269"/>
    </row>
    <row r="7" spans="2:28" ht="16.5">
      <c r="B7" s="552"/>
      <c r="C7" s="235" t="s">
        <v>226</v>
      </c>
      <c r="D7" s="554"/>
      <c r="E7" s="472"/>
      <c r="F7" s="269"/>
    </row>
    <row r="8" spans="2:28" ht="16.5">
      <c r="B8" s="552"/>
      <c r="C8" s="235" t="s">
        <v>88</v>
      </c>
      <c r="D8" s="554"/>
      <c r="E8" s="498"/>
      <c r="F8" s="270"/>
    </row>
    <row r="9" spans="2:28" ht="16.5">
      <c r="B9" s="553"/>
      <c r="C9" s="235" t="s">
        <v>227</v>
      </c>
      <c r="D9" s="554"/>
      <c r="E9" s="472"/>
      <c r="F9" s="269"/>
      <c r="G9" s="386"/>
    </row>
    <row r="11" spans="2:28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545"/>
      <c r="M11" s="545"/>
      <c r="N11" s="546"/>
      <c r="O11" s="546"/>
      <c r="P11" s="496"/>
      <c r="Q11" s="547" t="s">
        <v>142</v>
      </c>
      <c r="R11" s="548" t="s">
        <v>184</v>
      </c>
      <c r="S11" s="542" t="s">
        <v>169</v>
      </c>
      <c r="T11" s="542"/>
      <c r="U11" s="542" t="s">
        <v>335</v>
      </c>
    </row>
    <row r="12" spans="2:28">
      <c r="C12" s="543"/>
      <c r="D12" s="543"/>
      <c r="E12" s="543">
        <v>1</v>
      </c>
      <c r="F12" s="543"/>
      <c r="G12" s="543"/>
      <c r="H12" s="543"/>
      <c r="I12" s="543">
        <v>2</v>
      </c>
      <c r="J12" s="543"/>
      <c r="K12" s="543"/>
      <c r="L12" s="543"/>
      <c r="M12" s="543">
        <v>3</v>
      </c>
      <c r="N12" s="543"/>
      <c r="O12" s="543"/>
      <c r="P12" s="543"/>
      <c r="Q12" s="547"/>
      <c r="R12" s="549"/>
      <c r="S12" s="542"/>
      <c r="T12" s="542"/>
      <c r="U12" s="542"/>
      <c r="AB12" s="172"/>
    </row>
    <row r="13" spans="2:28" ht="27">
      <c r="C13" s="543"/>
      <c r="D13" s="543"/>
      <c r="E13" s="410" t="s">
        <v>150</v>
      </c>
      <c r="F13" s="409" t="s">
        <v>302</v>
      </c>
      <c r="G13" s="409" t="s">
        <v>152</v>
      </c>
      <c r="H13" s="409" t="s">
        <v>153</v>
      </c>
      <c r="I13" s="410" t="s">
        <v>150</v>
      </c>
      <c r="J13" s="409" t="s">
        <v>302</v>
      </c>
      <c r="K13" s="409" t="s">
        <v>152</v>
      </c>
      <c r="L13" s="409" t="s">
        <v>153</v>
      </c>
      <c r="M13" s="410" t="s">
        <v>150</v>
      </c>
      <c r="N13" s="409" t="s">
        <v>302</v>
      </c>
      <c r="O13" s="409" t="s">
        <v>152</v>
      </c>
      <c r="P13" s="409" t="s">
        <v>153</v>
      </c>
      <c r="Q13" s="547"/>
      <c r="R13" s="549"/>
      <c r="S13" s="409" t="s">
        <v>144</v>
      </c>
      <c r="T13" s="410" t="s">
        <v>168</v>
      </c>
      <c r="U13" s="543"/>
      <c r="W13" s="172" t="s">
        <v>170</v>
      </c>
      <c r="X13" s="267" t="s">
        <v>171</v>
      </c>
    </row>
    <row r="14" spans="2:28">
      <c r="C14" s="537" t="s">
        <v>145</v>
      </c>
      <c r="D14" s="180" t="s">
        <v>11</v>
      </c>
      <c r="E14" s="273">
        <f>IFERROR(VLOOKUP(D14,'미니게임_DATA(순)'!$A$4:$EV$50,124,0),0)</f>
        <v>182</v>
      </c>
      <c r="F14" s="273"/>
      <c r="G14" s="526">
        <f>RANK(E18,($E$18,$E$23,$E$28,$E$33,E$38,$E$43))</f>
        <v>5</v>
      </c>
      <c r="H14" s="526">
        <f>G14</f>
        <v>5</v>
      </c>
      <c r="I14" s="275">
        <f>IFERROR(VLOOKUP(D14,'미니게임_DATA(순)'!$A$4:$EV$50,125,0),0)</f>
        <v>131</v>
      </c>
      <c r="J14" s="273"/>
      <c r="K14" s="526">
        <f>RANK(I18,($I$18,$I$23,$I$28,$I$33,I$38,$I$43))</f>
        <v>6</v>
      </c>
      <c r="L14" s="526">
        <f>RANK(AA18,($AA$18,$AA$23,$AA$28,$AA$33,$AA$38,$AA$43))</f>
        <v>6</v>
      </c>
      <c r="M14" s="275">
        <f>IFERROR(VLOOKUP(D14,'미니게임_DATA(순)'!$A$4:$EV$50,126,0),0)</f>
        <v>201</v>
      </c>
      <c r="N14" s="273"/>
      <c r="O14" s="526">
        <f>RANK(M18,($M$18,$M$23,$M$28,$M$33,$M$38,$M$43))</f>
        <v>3</v>
      </c>
      <c r="P14" s="526">
        <f>S14</f>
        <v>5</v>
      </c>
      <c r="Q14" s="273">
        <f t="shared" ref="Q14:Q43" si="0">E14+I14+M14</f>
        <v>514</v>
      </c>
      <c r="R14" s="274">
        <f>AVERAGE(E14,I14,M14)</f>
        <v>171.33333333333334</v>
      </c>
      <c r="S14" s="529">
        <f>RANK(Q18,($Q$18,$Q$23,$Q$28,$Q$33,$Q$38,$Q$43))</f>
        <v>5</v>
      </c>
      <c r="T14" s="541">
        <f>MAX($Q$18,$Q$23,Q$28,Q$33,Q$38)-Q18</f>
        <v>187</v>
      </c>
      <c r="U14" s="184">
        <f>IFERROR(R14-VLOOKUP(D14,'미니게임_DATA(순)'!$A:$FB,MATCH("rct 20g avg",'미니게임_DATA(순)'!$A$3:$FB$3,0),0),0)</f>
        <v>13.183333333333337</v>
      </c>
      <c r="W14" s="185">
        <f>MAX(E14,I14,M14)</f>
        <v>201</v>
      </c>
      <c r="X14" s="267">
        <f>R14</f>
        <v>171.33333333333334</v>
      </c>
      <c r="Y14" s="267" t="str">
        <f>VLOOKUP(Z14,'미니게임_DATA(순)'!$A$4:$C$45,3,0)</f>
        <v>남</v>
      </c>
      <c r="Z14" s="187" t="str">
        <f>D14</f>
        <v>박용승</v>
      </c>
    </row>
    <row r="15" spans="2:28">
      <c r="C15" s="538"/>
      <c r="D15" s="188" t="s">
        <v>12</v>
      </c>
      <c r="E15" s="275">
        <f>IFERROR(VLOOKUP(D15,'미니게임_DATA(순)'!$A$4:$EV$50,124,0),0)</f>
        <v>126</v>
      </c>
      <c r="F15" s="275"/>
      <c r="G15" s="527"/>
      <c r="H15" s="527"/>
      <c r="I15" s="275">
        <f>IFERROR(VLOOKUP(D15,'미니게임_DATA(순)'!$A$4:$EV$50,125,0),0)</f>
        <v>174</v>
      </c>
      <c r="J15" s="275"/>
      <c r="K15" s="527"/>
      <c r="L15" s="527"/>
      <c r="M15" s="275">
        <f>IFERROR(VLOOKUP(D15,'미니게임_DATA(순)'!$A$4:$EV$50,126,0),0)</f>
        <v>183</v>
      </c>
      <c r="N15" s="275"/>
      <c r="O15" s="527"/>
      <c r="P15" s="527"/>
      <c r="Q15" s="275">
        <f t="shared" si="0"/>
        <v>483</v>
      </c>
      <c r="R15" s="300">
        <f t="shared" ref="R15:R16" si="1">AVERAGE(E15,I15,M15)</f>
        <v>161</v>
      </c>
      <c r="S15" s="530"/>
      <c r="T15" s="527"/>
      <c r="U15" s="190">
        <f>IFERROR(R15-VLOOKUP(D15,'미니게임_DATA(순)'!$A:$FB,MATCH("rct 20g avg",'미니게임_DATA(순)'!$A$3:$FB$3,0),0),0)</f>
        <v>11.400000000000006</v>
      </c>
      <c r="W15" s="185">
        <f t="shared" ref="W15:W16" si="2">MAX(E15,I15,M15)</f>
        <v>183</v>
      </c>
      <c r="X15" s="267">
        <f t="shared" ref="X15:X16" si="3">R15</f>
        <v>161</v>
      </c>
      <c r="Y15" s="267" t="str">
        <f>VLOOKUP(Z15,'미니게임_DATA(순)'!$A$4:$C$45,3,0)</f>
        <v>여</v>
      </c>
      <c r="Z15" s="187" t="str">
        <f>D15</f>
        <v>성소라</v>
      </c>
    </row>
    <row r="16" spans="2:28">
      <c r="C16" s="538"/>
      <c r="D16" s="188" t="s">
        <v>372</v>
      </c>
      <c r="E16" s="275">
        <f>IFERROR(VLOOKUP(D16,'미니게임_DATA(순)'!$A$4:$EV$50,124,0),0)</f>
        <v>95</v>
      </c>
      <c r="F16" s="275">
        <v>15</v>
      </c>
      <c r="G16" s="527"/>
      <c r="H16" s="527"/>
      <c r="I16" s="275">
        <f>IFERROR(VLOOKUP(D16,'미니게임_DATA(순)'!$A$4:$EV$50,125,0),0)</f>
        <v>82</v>
      </c>
      <c r="J16" s="275">
        <v>15</v>
      </c>
      <c r="K16" s="527"/>
      <c r="L16" s="527"/>
      <c r="M16" s="275">
        <f>IFERROR(VLOOKUP(D16,'미니게임_DATA(순)'!$A$4:$EV$50,126,0),0)</f>
        <v>88</v>
      </c>
      <c r="N16" s="275">
        <v>15</v>
      </c>
      <c r="O16" s="527"/>
      <c r="P16" s="527"/>
      <c r="Q16" s="275">
        <f t="shared" si="0"/>
        <v>265</v>
      </c>
      <c r="R16" s="276">
        <f t="shared" si="1"/>
        <v>88.333333333333329</v>
      </c>
      <c r="S16" s="530"/>
      <c r="T16" s="527"/>
      <c r="U16" s="190">
        <f>IFERROR(R16-VLOOKUP(D16,'미니게임_DATA(순)'!$A:$FB,MATCH("rct 20g avg",'미니게임_DATA(순)'!$A$3:$FB$3,0),0),0)</f>
        <v>-8.4166666666666714</v>
      </c>
      <c r="W16" s="185">
        <f t="shared" si="2"/>
        <v>95</v>
      </c>
      <c r="X16" s="267">
        <f t="shared" si="3"/>
        <v>88.333333333333329</v>
      </c>
      <c r="Y16" s="267" t="str">
        <f>VLOOKUP(Z16,'미니게임_DATA(순)'!$A$4:$C$45,3,0)</f>
        <v>남</v>
      </c>
      <c r="Z16" s="187" t="str">
        <f>D16</f>
        <v>이경준</v>
      </c>
    </row>
    <row r="17" spans="3:27">
      <c r="C17" s="538"/>
      <c r="D17" s="191"/>
      <c r="E17" s="279"/>
      <c r="F17" s="279"/>
      <c r="G17" s="527"/>
      <c r="H17" s="527"/>
      <c r="I17" s="279"/>
      <c r="J17" s="279"/>
      <c r="K17" s="527"/>
      <c r="L17" s="527"/>
      <c r="M17" s="279"/>
      <c r="N17" s="279"/>
      <c r="O17" s="527"/>
      <c r="P17" s="527"/>
      <c r="Q17" s="279">
        <f t="shared" si="0"/>
        <v>0</v>
      </c>
      <c r="R17" s="276">
        <f t="shared" ref="R17" si="4">Q17/3</f>
        <v>0</v>
      </c>
      <c r="S17" s="530"/>
      <c r="T17" s="527"/>
      <c r="U17" s="190">
        <f>IFERROR(R17-VLOOKUP(D17,'미니게임_DATA(순)'!$A:$FB,MATCH("rct 20g avg",'미니게임_DATA(순)'!$A$3:$FB$3,0),0),0)</f>
        <v>0</v>
      </c>
      <c r="W17" s="185"/>
      <c r="Z17" s="187"/>
    </row>
    <row r="18" spans="3:27" ht="16.5">
      <c r="C18" s="539"/>
      <c r="D18" s="411"/>
      <c r="E18" s="535">
        <f>SUMIF(E14:F17, "&gt;0")</f>
        <v>418</v>
      </c>
      <c r="F18" s="498"/>
      <c r="G18" s="528"/>
      <c r="H18" s="528"/>
      <c r="I18" s="535">
        <f>SUMIF(I14:J17, "&gt;0")</f>
        <v>402</v>
      </c>
      <c r="J18" s="498"/>
      <c r="K18" s="528"/>
      <c r="L18" s="528"/>
      <c r="M18" s="535">
        <f>SUMIF(M14:N17, "&gt;0")</f>
        <v>487</v>
      </c>
      <c r="N18" s="498"/>
      <c r="O18" s="528"/>
      <c r="P18" s="528"/>
      <c r="Q18" s="272">
        <f t="shared" si="0"/>
        <v>1307</v>
      </c>
      <c r="R18" s="196"/>
      <c r="S18" s="531"/>
      <c r="T18" s="528"/>
      <c r="U18" s="277">
        <f>IFERROR(R18-VLOOKUP(D18,'미니게임_DATA(순)'!$A:$FB,MATCH("rct 20g avg",'미니게임_DATA(순)'!$A$3:$FB$3,0),0),0)</f>
        <v>0</v>
      </c>
      <c r="V18" s="185"/>
      <c r="W18" s="185"/>
      <c r="Z18" s="187">
        <f>D18</f>
        <v>0</v>
      </c>
      <c r="AA18" s="187">
        <f>SUM(E18,I18)</f>
        <v>820</v>
      </c>
    </row>
    <row r="19" spans="3:27">
      <c r="C19" s="537" t="s">
        <v>146</v>
      </c>
      <c r="D19" s="180" t="s">
        <v>37</v>
      </c>
      <c r="E19" s="275">
        <f>IFERROR(VLOOKUP(D19,'미니게임_DATA(순)'!$A$4:$EV$50,124,0),0)</f>
        <v>190</v>
      </c>
      <c r="F19" s="273"/>
      <c r="G19" s="526">
        <f>RANK(E23,($E$18,$E$23,$E$28,$E$33,E$38,$E$43))</f>
        <v>1</v>
      </c>
      <c r="H19" s="526">
        <f t="shared" ref="H19" si="5">G19</f>
        <v>1</v>
      </c>
      <c r="I19" s="275">
        <f>IFERROR(VLOOKUP(D19,'미니게임_DATA(순)'!$A$4:$EV$50,125,0),0)</f>
        <v>192</v>
      </c>
      <c r="J19" s="273"/>
      <c r="K19" s="526">
        <f>RANK(I23,($I$18,$I$23,$I$28,$I$33,I$38,$I$43))</f>
        <v>2</v>
      </c>
      <c r="L19" s="526">
        <f>RANK(AA23,($AA$18,$AA$23,$AA$28,$AA$33,$AA$38,$AA$43))</f>
        <v>2</v>
      </c>
      <c r="M19" s="275">
        <f>IFERROR(VLOOKUP(D19,'미니게임_DATA(순)'!$A$4:$EV$50,126,0),0)</f>
        <v>161</v>
      </c>
      <c r="N19" s="273"/>
      <c r="O19" s="526">
        <f>RANK(M23,($M$18,$M$23,$M$28,$M$33,$M$38,$M$43))</f>
        <v>1</v>
      </c>
      <c r="P19" s="526">
        <f t="shared" ref="P19" si="6">S19</f>
        <v>1</v>
      </c>
      <c r="Q19" s="273">
        <f t="shared" si="0"/>
        <v>543</v>
      </c>
      <c r="R19" s="274">
        <f>AVERAGE(E19,I19,M19)</f>
        <v>181</v>
      </c>
      <c r="S19" s="529">
        <f>RANK(Q23,($Q$18,$Q$23,$Q$28,$Q$33,$Q$38,$Q$43))</f>
        <v>1</v>
      </c>
      <c r="T19" s="532">
        <f>MAX($Q$18,$Q$23,Q$28,Q$33,Q$38)-Q23</f>
        <v>0</v>
      </c>
      <c r="U19" s="184">
        <f>IFERROR(R19-VLOOKUP(D19,'미니게임_DATA(순)'!$A:$FB,MATCH("rct 20g avg",'미니게임_DATA(순)'!$A$3:$FB$3,0),0),0)</f>
        <v>13.900000000000006</v>
      </c>
      <c r="W19" s="185">
        <f>MAX(E19,I19,M19)</f>
        <v>192</v>
      </c>
      <c r="X19" s="267">
        <f>R19</f>
        <v>181</v>
      </c>
      <c r="Y19" s="267" t="str">
        <f>VLOOKUP(Z19,'미니게임_DATA(순)'!$A$4:$C$45,3,0)</f>
        <v>남</v>
      </c>
      <c r="Z19" s="187" t="str">
        <f>D19</f>
        <v>최은규</v>
      </c>
    </row>
    <row r="20" spans="3:27">
      <c r="C20" s="538"/>
      <c r="D20" s="188" t="s">
        <v>17</v>
      </c>
      <c r="E20" s="275">
        <f>IFERROR(VLOOKUP(D20,'미니게임_DATA(순)'!$A$4:$EV$50,124,0),0)</f>
        <v>171</v>
      </c>
      <c r="F20" s="275"/>
      <c r="G20" s="527"/>
      <c r="H20" s="527"/>
      <c r="I20" s="275">
        <f>IFERROR(VLOOKUP(D20,'미니게임_DATA(순)'!$A$4:$EV$50,125,0),0)</f>
        <v>152</v>
      </c>
      <c r="J20" s="275"/>
      <c r="K20" s="527"/>
      <c r="L20" s="527"/>
      <c r="M20" s="275">
        <f>IFERROR(VLOOKUP(D20,'미니게임_DATA(순)'!$A$4:$EV$50,126,0),0)</f>
        <v>161</v>
      </c>
      <c r="N20" s="275"/>
      <c r="O20" s="527"/>
      <c r="P20" s="527"/>
      <c r="Q20" s="275">
        <f t="shared" si="0"/>
        <v>484</v>
      </c>
      <c r="R20" s="300">
        <f t="shared" ref="R20:R21" si="7">AVERAGE(E20,I20,M20)</f>
        <v>161.33333333333334</v>
      </c>
      <c r="S20" s="530"/>
      <c r="T20" s="533"/>
      <c r="U20" s="190">
        <f>IFERROR(R20-VLOOKUP(D20,'미니게임_DATA(순)'!$A:$FB,MATCH("rct 20g avg",'미니게임_DATA(순)'!$A$3:$FB$3,0),0),0)</f>
        <v>11.983333333333348</v>
      </c>
      <c r="W20" s="185">
        <f t="shared" ref="W20:W21" si="8">MAX(E20,I20,M20)</f>
        <v>171</v>
      </c>
      <c r="X20" s="267">
        <f>R20</f>
        <v>161.33333333333334</v>
      </c>
      <c r="Y20" s="267" t="str">
        <f>VLOOKUP(Z20,'미니게임_DATA(순)'!$A$4:$C$45,3,0)</f>
        <v>남</v>
      </c>
      <c r="Z20" s="187" t="str">
        <f>D20</f>
        <v>한희용</v>
      </c>
    </row>
    <row r="21" spans="3:27">
      <c r="C21" s="538"/>
      <c r="D21" s="188" t="s">
        <v>371</v>
      </c>
      <c r="E21" s="275">
        <f>IFERROR(VLOOKUP(D21,'미니게임_DATA(순)'!$A$4:$EV$50,124,0),0)</f>
        <v>150</v>
      </c>
      <c r="F21" s="275">
        <v>15</v>
      </c>
      <c r="G21" s="527"/>
      <c r="H21" s="527"/>
      <c r="I21" s="275">
        <f>IFERROR(VLOOKUP(D21,'미니게임_DATA(순)'!$A$4:$EV$50,125,0),0)</f>
        <v>111</v>
      </c>
      <c r="J21" s="275">
        <v>15</v>
      </c>
      <c r="K21" s="527"/>
      <c r="L21" s="527"/>
      <c r="M21" s="275">
        <f>IFERROR(VLOOKUP(D21,'미니게임_DATA(순)'!$A$4:$EV$50,126,0),0)</f>
        <v>161</v>
      </c>
      <c r="N21" s="275">
        <v>15</v>
      </c>
      <c r="O21" s="527"/>
      <c r="P21" s="527"/>
      <c r="Q21" s="275">
        <f t="shared" si="0"/>
        <v>422</v>
      </c>
      <c r="R21" s="276">
        <f t="shared" si="7"/>
        <v>140.66666666666666</v>
      </c>
      <c r="S21" s="530"/>
      <c r="T21" s="533"/>
      <c r="U21" s="190">
        <f>IFERROR(R21-VLOOKUP(D21,'미니게임_DATA(순)'!$A:$FB,MATCH("rct 20g avg",'미니게임_DATA(순)'!$A$3:$FB$3,0),0),0)</f>
        <v>17.916666666666657</v>
      </c>
      <c r="W21" s="185">
        <f t="shared" si="8"/>
        <v>161</v>
      </c>
      <c r="X21" s="267">
        <f>R21</f>
        <v>140.66666666666666</v>
      </c>
      <c r="Y21" s="267" t="str">
        <f>VLOOKUP(Z21,'미니게임_DATA(순)'!$A$4:$C$45,3,0)</f>
        <v>남</v>
      </c>
      <c r="Z21" s="187" t="str">
        <f>D21</f>
        <v>이종현</v>
      </c>
    </row>
    <row r="22" spans="3:27">
      <c r="C22" s="538"/>
      <c r="D22" s="188"/>
      <c r="E22" s="279"/>
      <c r="F22" s="279"/>
      <c r="G22" s="527"/>
      <c r="H22" s="527"/>
      <c r="I22" s="279"/>
      <c r="J22" s="279"/>
      <c r="K22" s="527"/>
      <c r="L22" s="527"/>
      <c r="M22" s="279"/>
      <c r="N22" s="279"/>
      <c r="O22" s="527"/>
      <c r="P22" s="527"/>
      <c r="Q22" s="279">
        <f t="shared" si="0"/>
        <v>0</v>
      </c>
      <c r="R22" s="276">
        <f t="shared" ref="R22" si="9">Q22/3</f>
        <v>0</v>
      </c>
      <c r="S22" s="530"/>
      <c r="T22" s="533"/>
      <c r="U22" s="190">
        <f>IFERROR(R22-VLOOKUP(D22,'미니게임_DATA(순)'!$A:$FB,MATCH("rct 20g avg",'미니게임_DATA(순)'!$A$3:$FB$3,0),0),0)</f>
        <v>0</v>
      </c>
      <c r="W22" s="185"/>
      <c r="Z22" s="187"/>
    </row>
    <row r="23" spans="3:27" ht="16.5">
      <c r="C23" s="539"/>
      <c r="D23" s="411"/>
      <c r="E23" s="535">
        <f>SUMIF(E19:F22, "&gt;0")</f>
        <v>526</v>
      </c>
      <c r="F23" s="498"/>
      <c r="G23" s="528"/>
      <c r="H23" s="528"/>
      <c r="I23" s="535">
        <f>SUMIF(I19:J22, "&gt;0")</f>
        <v>470</v>
      </c>
      <c r="J23" s="498"/>
      <c r="K23" s="528"/>
      <c r="L23" s="528"/>
      <c r="M23" s="535">
        <f>SUMIF(M19:N22, "&gt;0")</f>
        <v>498</v>
      </c>
      <c r="N23" s="498"/>
      <c r="O23" s="528"/>
      <c r="P23" s="528"/>
      <c r="Q23" s="272">
        <f t="shared" si="0"/>
        <v>1494</v>
      </c>
      <c r="R23" s="196"/>
      <c r="S23" s="531"/>
      <c r="T23" s="534"/>
      <c r="U23" s="277">
        <f>IFERROR(R23-VLOOKUP(D23,'미니게임_DATA(순)'!$A:$FB,MATCH("rct 20g avg",'미니게임_DATA(순)'!$A$3:$FB$3,0),0),0)</f>
        <v>0</v>
      </c>
      <c r="V23" s="185"/>
      <c r="W23" s="185"/>
      <c r="Z23" s="187">
        <f t="shared" ref="Z23:Z32" si="10">D23</f>
        <v>0</v>
      </c>
      <c r="AA23" s="187">
        <f>SUM(E23,I23)</f>
        <v>996</v>
      </c>
    </row>
    <row r="24" spans="3:27">
      <c r="C24" s="537" t="s">
        <v>147</v>
      </c>
      <c r="D24" s="342" t="s">
        <v>221</v>
      </c>
      <c r="E24" s="275">
        <v>168</v>
      </c>
      <c r="F24" s="273"/>
      <c r="G24" s="526">
        <f>RANK(E28,($E$18,$E$23,$E$28,$E$33,E$38,$E$43))</f>
        <v>4</v>
      </c>
      <c r="H24" s="526">
        <f t="shared" ref="H24" si="11">G24</f>
        <v>4</v>
      </c>
      <c r="I24" s="275">
        <v>168</v>
      </c>
      <c r="J24" s="273"/>
      <c r="K24" s="526">
        <f>RANK(I28,($I$18,$I$23,$I$28,$I$33,I$38,$I$43))</f>
        <v>4</v>
      </c>
      <c r="L24" s="526">
        <f>RANK(AA28,($AA$18,$AA$23,$AA$28,$AA$33,$AA$38,$AA$43))</f>
        <v>4</v>
      </c>
      <c r="M24" s="275">
        <v>168</v>
      </c>
      <c r="N24" s="273"/>
      <c r="O24" s="526">
        <f>RANK(M28,($M$18,$M$23,$M$28,$M$33,$M$38,$M$43))</f>
        <v>2</v>
      </c>
      <c r="P24" s="526">
        <f t="shared" ref="P24" si="12">S24</f>
        <v>3</v>
      </c>
      <c r="Q24" s="273">
        <f t="shared" si="0"/>
        <v>504</v>
      </c>
      <c r="R24" s="274">
        <f>AVERAGE(E24,I24,M24)</f>
        <v>168</v>
      </c>
      <c r="S24" s="529">
        <f>RANK(Q28,($Q$18,$Q$23,$Q$28,$Q$33,$Q$38,$Q$43))</f>
        <v>3</v>
      </c>
      <c r="T24" s="532">
        <f>MAX($Q$18,$Q$23,Q$28,Q$33,Q$38)-Q28</f>
        <v>113</v>
      </c>
      <c r="U24" s="184">
        <f>IFERROR(R24-VLOOKUP(D24,'미니게임_DATA(순)'!$A:$FB,MATCH("rct 20g avg",'미니게임_DATA(순)'!$A$3:$FB$3,0),0),0)</f>
        <v>0</v>
      </c>
      <c r="W24" s="185">
        <f t="shared" ref="W24:W27" si="13">MAX(E24,I24,M24)</f>
        <v>168</v>
      </c>
      <c r="X24" s="267">
        <f>R24</f>
        <v>168</v>
      </c>
      <c r="Y24" s="267" t="s">
        <v>156</v>
      </c>
      <c r="Z24" s="187" t="str">
        <f t="shared" si="10"/>
        <v>동수</v>
      </c>
    </row>
    <row r="25" spans="3:27">
      <c r="C25" s="538"/>
      <c r="D25" s="188" t="s">
        <v>14</v>
      </c>
      <c r="E25" s="275">
        <f>IFERROR(VLOOKUP(D25,'미니게임_DATA(순)'!$A$4:$EV$50,124,0),0)</f>
        <v>162</v>
      </c>
      <c r="F25" s="275"/>
      <c r="G25" s="527"/>
      <c r="H25" s="527"/>
      <c r="I25" s="275">
        <f>IFERROR(VLOOKUP(D25,'미니게임_DATA(순)'!$A$4:$EV$50,125,0),0)</f>
        <v>125</v>
      </c>
      <c r="J25" s="275"/>
      <c r="K25" s="527"/>
      <c r="L25" s="527"/>
      <c r="M25" s="275">
        <f>IFERROR(VLOOKUP(D25,'미니게임_DATA(순)'!$A$4:$EV$50,126,0),0)</f>
        <v>173</v>
      </c>
      <c r="N25" s="275"/>
      <c r="O25" s="527"/>
      <c r="P25" s="527"/>
      <c r="Q25" s="275">
        <f t="shared" si="0"/>
        <v>460</v>
      </c>
      <c r="R25" s="300">
        <f t="shared" ref="R25:R26" si="14">AVERAGE(E25,I25,M25)</f>
        <v>153.33333333333334</v>
      </c>
      <c r="S25" s="530"/>
      <c r="T25" s="533"/>
      <c r="U25" s="190">
        <f>IFERROR(R25-VLOOKUP(D25,'미니게임_DATA(순)'!$A:$FB,MATCH("rct 20g avg",'미니게임_DATA(순)'!$A$3:$FB$3,0),0),0)</f>
        <v>-11.216666666666669</v>
      </c>
      <c r="W25" s="185">
        <f t="shared" si="13"/>
        <v>173</v>
      </c>
      <c r="X25" s="267">
        <f>R25</f>
        <v>153.33333333333334</v>
      </c>
      <c r="Y25" s="267" t="str">
        <f>VLOOKUP(Z25,'미니게임_DATA(순)'!$A$4:$C$45,3,0)</f>
        <v>남</v>
      </c>
      <c r="Z25" s="187" t="str">
        <f t="shared" si="10"/>
        <v>채승엽</v>
      </c>
    </row>
    <row r="26" spans="3:27">
      <c r="C26" s="538"/>
      <c r="D26" s="188" t="s">
        <v>42</v>
      </c>
      <c r="E26" s="275">
        <f>IFERROR(VLOOKUP(D26,'미니게임_DATA(순)'!$A$4:$EV$50,124,0),0)</f>
        <v>86</v>
      </c>
      <c r="F26" s="275">
        <v>15</v>
      </c>
      <c r="G26" s="527"/>
      <c r="H26" s="527"/>
      <c r="I26" s="275">
        <f>IFERROR(VLOOKUP(D26,'미니게임_DATA(순)'!$A$4:$EV$50,125,0),0)</f>
        <v>151</v>
      </c>
      <c r="J26" s="275">
        <v>15</v>
      </c>
      <c r="K26" s="527"/>
      <c r="L26" s="527"/>
      <c r="M26" s="275">
        <f>IFERROR(VLOOKUP(D26,'미니게임_DATA(순)'!$A$4:$EV$50,126,0),0)</f>
        <v>135</v>
      </c>
      <c r="N26" s="275">
        <v>15</v>
      </c>
      <c r="O26" s="527"/>
      <c r="P26" s="527"/>
      <c r="Q26" s="275">
        <f t="shared" si="0"/>
        <v>372</v>
      </c>
      <c r="R26" s="276">
        <f t="shared" si="14"/>
        <v>124</v>
      </c>
      <c r="S26" s="530"/>
      <c r="T26" s="533"/>
      <c r="U26" s="190">
        <f>IFERROR(R26-VLOOKUP(D26,'미니게임_DATA(순)'!$A:$FB,MATCH("rct 20g avg",'미니게임_DATA(순)'!$A$3:$FB$3,0),0),0)</f>
        <v>-9.1999999999999886</v>
      </c>
      <c r="W26" s="185">
        <f t="shared" si="13"/>
        <v>151</v>
      </c>
      <c r="X26" s="267">
        <f>R26</f>
        <v>124</v>
      </c>
      <c r="Y26" s="267" t="str">
        <f>VLOOKUP(Z26,'미니게임_DATA(순)'!$A$4:$C$45,3,0)</f>
        <v>남</v>
      </c>
      <c r="Z26" s="187" t="str">
        <f t="shared" si="10"/>
        <v>권진현</v>
      </c>
    </row>
    <row r="27" spans="3:27">
      <c r="C27" s="538"/>
      <c r="D27" s="191"/>
      <c r="E27" s="302">
        <f>IFERROR(VLOOKUP(D27,'미니게임_DATA(순)'!$A$4:$EV$45,111,0),0)</f>
        <v>0</v>
      </c>
      <c r="F27" s="279"/>
      <c r="G27" s="527"/>
      <c r="H27" s="527"/>
      <c r="I27" s="302">
        <f>IFERROR(VLOOKUP(D27,'미니게임_DATA(순)'!$A$4:$EV$45,112,0),0)</f>
        <v>0</v>
      </c>
      <c r="J27" s="279"/>
      <c r="K27" s="527"/>
      <c r="L27" s="527"/>
      <c r="M27" s="302">
        <f>IFERROR(VLOOKUP(D27,'미니게임_DATA(순)'!$A$4:$EV$45,113,0),0)</f>
        <v>0</v>
      </c>
      <c r="N27" s="279"/>
      <c r="O27" s="527"/>
      <c r="P27" s="527"/>
      <c r="Q27" s="279">
        <f t="shared" si="0"/>
        <v>0</v>
      </c>
      <c r="R27" s="276">
        <f t="shared" ref="R27" si="15">Q27/3</f>
        <v>0</v>
      </c>
      <c r="S27" s="530"/>
      <c r="T27" s="533"/>
      <c r="U27" s="190">
        <f>IFERROR(R27-VLOOKUP(D27,'미니게임_DATA(순)'!$A:$FB,MATCH("rct 20g avg",'미니게임_DATA(순)'!$A$3:$FB$3,0),0),0)</f>
        <v>0</v>
      </c>
      <c r="W27" s="185">
        <f t="shared" si="13"/>
        <v>0</v>
      </c>
      <c r="X27" s="267">
        <f>R27</f>
        <v>0</v>
      </c>
      <c r="Y27" s="388" t="s">
        <v>239</v>
      </c>
      <c r="Z27" s="187">
        <f t="shared" si="10"/>
        <v>0</v>
      </c>
    </row>
    <row r="28" spans="3:27" ht="16.5">
      <c r="C28" s="539"/>
      <c r="D28" s="411"/>
      <c r="E28" s="535">
        <f>SUMIF(E24:F26, "&gt;0")</f>
        <v>431</v>
      </c>
      <c r="F28" s="498"/>
      <c r="G28" s="528"/>
      <c r="H28" s="528"/>
      <c r="I28" s="535">
        <f>SUMIF(I24:J26, "&gt;0")</f>
        <v>459</v>
      </c>
      <c r="J28" s="498"/>
      <c r="K28" s="528"/>
      <c r="L28" s="528"/>
      <c r="M28" s="535">
        <f>SUMIF(M24:N26, "&gt;0")</f>
        <v>491</v>
      </c>
      <c r="N28" s="498"/>
      <c r="O28" s="528"/>
      <c r="P28" s="528"/>
      <c r="Q28" s="272">
        <f t="shared" si="0"/>
        <v>1381</v>
      </c>
      <c r="R28" s="196"/>
      <c r="S28" s="531"/>
      <c r="T28" s="534"/>
      <c r="U28" s="277">
        <f>IFERROR(R28-VLOOKUP(D28,'미니게임_DATA(순)'!$A:$FB,MATCH("rct 20g avg",'미니게임_DATA(순)'!$A$3:$FB$3,0),0),0)</f>
        <v>0</v>
      </c>
      <c r="V28" s="185"/>
      <c r="W28" s="185"/>
      <c r="Z28" s="187">
        <f t="shared" si="10"/>
        <v>0</v>
      </c>
      <c r="AA28" s="187">
        <f>SUM(E28,I28)</f>
        <v>890</v>
      </c>
    </row>
    <row r="29" spans="3:27">
      <c r="C29" s="537" t="s">
        <v>148</v>
      </c>
      <c r="D29" s="180" t="s">
        <v>13</v>
      </c>
      <c r="E29" s="275">
        <f>IFERROR(VLOOKUP(D29,'미니게임_DATA(순)'!$A$4:$EV$50,124,0),0)</f>
        <v>166</v>
      </c>
      <c r="F29" s="273"/>
      <c r="G29" s="526">
        <f>RANK(E33,($E$18,$E$23,$E$28,$E$33,E$38,$E$43))</f>
        <v>6</v>
      </c>
      <c r="H29" s="526">
        <f t="shared" ref="H29" si="16">G29</f>
        <v>6</v>
      </c>
      <c r="I29" s="275">
        <f>IFERROR(VLOOKUP(D29,'미니게임_DATA(순)'!$A$4:$EV$50,125,0),0)</f>
        <v>167</v>
      </c>
      <c r="J29" s="273"/>
      <c r="K29" s="526">
        <f>RANK(I33,($I$18,$I$23,$I$28,$I$33,I$38,$I$43))</f>
        <v>5</v>
      </c>
      <c r="L29" s="526">
        <f>RANK(AA33,($AA$18,$AA$23,$AA$28,$AA$33,$AA$38,$AA$43))</f>
        <v>5</v>
      </c>
      <c r="M29" s="275">
        <f>IFERROR(VLOOKUP(D29,'미니게임_DATA(순)'!$A$4:$EV$50,126,0),0)</f>
        <v>135</v>
      </c>
      <c r="N29" s="273"/>
      <c r="O29" s="526">
        <f>RANK(M33,($M$18,$M$23,$M$28,$M$33,$M$38,$M$43))</f>
        <v>5</v>
      </c>
      <c r="P29" s="526">
        <f t="shared" ref="P29" si="17">S29</f>
        <v>6</v>
      </c>
      <c r="Q29" s="273">
        <f t="shared" si="0"/>
        <v>468</v>
      </c>
      <c r="R29" s="274">
        <f>AVERAGE(E29,I29,M29)</f>
        <v>156</v>
      </c>
      <c r="S29" s="529">
        <f>RANK(Q33,($Q$18,$Q$23,$Q$28,$Q$33,$Q$38,$Q$43))</f>
        <v>6</v>
      </c>
      <c r="T29" s="532">
        <f>MAX($Q$18,$Q$23,Q$28,Q$33,Q$38)-Q33</f>
        <v>228</v>
      </c>
      <c r="U29" s="184">
        <f>IFERROR(R29-VLOOKUP(D29,'미니게임_DATA(순)'!$A:$FB,MATCH("rct 20g avg",'미니게임_DATA(순)'!$A$3:$FB$3,0),0),0)</f>
        <v>-1.0999999999999943</v>
      </c>
      <c r="W29" s="185">
        <f t="shared" ref="W29:W31" si="18">MAX(E29,I29,M29)</f>
        <v>167</v>
      </c>
      <c r="X29" s="267">
        <f>R29</f>
        <v>156</v>
      </c>
      <c r="Y29" s="267" t="str">
        <f>IFERROR(VLOOKUP(Z29,'미니게임_DATA(순)'!$A$4:$C$45,3,0),"-")</f>
        <v>남</v>
      </c>
      <c r="Z29" s="187" t="str">
        <f t="shared" si="10"/>
        <v>정동현</v>
      </c>
    </row>
    <row r="30" spans="3:27">
      <c r="C30" s="538"/>
      <c r="D30" s="188" t="s">
        <v>22</v>
      </c>
      <c r="E30" s="275">
        <f>IFERROR(VLOOKUP(D30,'미니게임_DATA(순)'!$A$4:$EV$50,124,0),0)</f>
        <v>122</v>
      </c>
      <c r="F30" s="275"/>
      <c r="G30" s="527"/>
      <c r="H30" s="527"/>
      <c r="I30" s="275">
        <f>IFERROR(VLOOKUP(D30,'미니게임_DATA(순)'!$A$4:$EV$50,125,0),0)</f>
        <v>140</v>
      </c>
      <c r="J30" s="275"/>
      <c r="K30" s="527"/>
      <c r="L30" s="527"/>
      <c r="M30" s="275">
        <f>IFERROR(VLOOKUP(D30,'미니게임_DATA(순)'!$A$4:$EV$50,126,0),0)</f>
        <v>160</v>
      </c>
      <c r="N30" s="275"/>
      <c r="O30" s="527"/>
      <c r="P30" s="527"/>
      <c r="Q30" s="275">
        <f t="shared" si="0"/>
        <v>422</v>
      </c>
      <c r="R30" s="300">
        <f t="shared" ref="R30" si="19">AVERAGE(E30,I30,M30)</f>
        <v>140.66666666666666</v>
      </c>
      <c r="S30" s="530"/>
      <c r="T30" s="533"/>
      <c r="U30" s="190">
        <f>IFERROR(R30-VLOOKUP(D30,'미니게임_DATA(순)'!$A:$FB,MATCH("rct 20g avg",'미니게임_DATA(순)'!$A$3:$FB$3,0),0),0)</f>
        <v>-2.6333333333333542</v>
      </c>
      <c r="W30" s="185">
        <f t="shared" si="18"/>
        <v>160</v>
      </c>
      <c r="X30" s="267">
        <f>R30</f>
        <v>140.66666666666666</v>
      </c>
      <c r="Y30" s="267" t="str">
        <f>IFERROR(VLOOKUP(Z30,'미니게임_DATA(순)'!$A$4:$C$45,3,0),"-")</f>
        <v>남</v>
      </c>
      <c r="Z30" s="187" t="str">
        <f t="shared" si="10"/>
        <v>이강은</v>
      </c>
    </row>
    <row r="31" spans="3:27">
      <c r="C31" s="538"/>
      <c r="D31" s="188" t="s">
        <v>281</v>
      </c>
      <c r="E31" s="275">
        <f>IFERROR(VLOOKUP(D31,'미니게임_DATA(순)'!$A$4:$EV$50,124,0),0)</f>
        <v>125</v>
      </c>
      <c r="F31" s="275"/>
      <c r="G31" s="527"/>
      <c r="H31" s="527"/>
      <c r="I31" s="275">
        <f>IFERROR(VLOOKUP(D31,'미니게임_DATA(순)'!$A$4:$EV$50,125,0),0)</f>
        <v>114</v>
      </c>
      <c r="J31" s="275"/>
      <c r="K31" s="527"/>
      <c r="L31" s="527"/>
      <c r="M31" s="275">
        <f>IFERROR(VLOOKUP(D31,'미니게임_DATA(순)'!$A$4:$EV$50,126,0),0)</f>
        <v>137</v>
      </c>
      <c r="N31" s="275"/>
      <c r="O31" s="527"/>
      <c r="P31" s="527"/>
      <c r="Q31" s="275">
        <f t="shared" si="0"/>
        <v>376</v>
      </c>
      <c r="R31" s="276">
        <f t="shared" ref="R31:R32" si="20">Q31/3</f>
        <v>125.33333333333333</v>
      </c>
      <c r="S31" s="530"/>
      <c r="T31" s="533"/>
      <c r="U31" s="190">
        <f>IFERROR(R31-VLOOKUP(D31,'미니게임_DATA(순)'!$A:$FB,MATCH("rct 20g avg",'미니게임_DATA(순)'!$A$3:$FB$3,0),0),0)</f>
        <v>-35.316666666666677</v>
      </c>
      <c r="W31" s="185">
        <f t="shared" si="18"/>
        <v>137</v>
      </c>
      <c r="X31" s="267">
        <f>R31</f>
        <v>125.33333333333333</v>
      </c>
      <c r="Y31" s="267" t="str">
        <f>IFERROR(VLOOKUP(Z31,'미니게임_DATA(순)'!$A$4:$C$45,3,0),"-")</f>
        <v>여</v>
      </c>
      <c r="Z31" s="187" t="str">
        <f t="shared" si="10"/>
        <v>오수인</v>
      </c>
    </row>
    <row r="32" spans="3:27">
      <c r="C32" s="538"/>
      <c r="D32" s="188"/>
      <c r="E32" s="387">
        <f>IFERROR(VLOOKUP(D32,'미니게임_DATA(순)'!$A$4:$EV$45,115,0),0)</f>
        <v>0</v>
      </c>
      <c r="F32" s="279"/>
      <c r="G32" s="527"/>
      <c r="H32" s="527"/>
      <c r="I32" s="387">
        <f>IFERROR(VLOOKUP(D32,'미니게임_DATA(순)'!$A$4:$EV$45,116,0),0)</f>
        <v>0</v>
      </c>
      <c r="J32" s="279"/>
      <c r="K32" s="527"/>
      <c r="L32" s="527"/>
      <c r="M32" s="387">
        <f>IFERROR(VLOOKUP(D32,'미니게임_DATA(순)'!$A$4:$EV$45,117,0),0)</f>
        <v>0</v>
      </c>
      <c r="N32" s="279"/>
      <c r="O32" s="527"/>
      <c r="P32" s="527"/>
      <c r="Q32" s="279">
        <f t="shared" si="0"/>
        <v>0</v>
      </c>
      <c r="R32" s="276">
        <f t="shared" si="20"/>
        <v>0</v>
      </c>
      <c r="S32" s="530"/>
      <c r="T32" s="533"/>
      <c r="U32" s="190">
        <f>IFERROR(R32-VLOOKUP(D32,'미니게임_DATA(순)'!$A:$FB,MATCH("rct 20g avg",'미니게임_DATA(순)'!$A$3:$FB$3,0),0),0)</f>
        <v>0</v>
      </c>
      <c r="W32" s="185"/>
      <c r="Y32" s="267" t="str">
        <f>IFERROR(VLOOKUP(Z32,'미니게임_DATA(순)'!$A$4:$C$45,3,0),"-")</f>
        <v>-</v>
      </c>
      <c r="Z32" s="187">
        <f t="shared" si="10"/>
        <v>0</v>
      </c>
    </row>
    <row r="33" spans="2:28" ht="16.5">
      <c r="C33" s="539"/>
      <c r="D33" s="411"/>
      <c r="E33" s="535">
        <f>SUMIF(E29:F31, "&gt;0")</f>
        <v>413</v>
      </c>
      <c r="F33" s="498"/>
      <c r="G33" s="528"/>
      <c r="H33" s="528"/>
      <c r="I33" s="535">
        <f>SUMIF(I29:J31, "&gt;0")</f>
        <v>421</v>
      </c>
      <c r="J33" s="498"/>
      <c r="K33" s="528"/>
      <c r="L33" s="528"/>
      <c r="M33" s="535">
        <f>SUMIF(M29:N31, "&gt;0")</f>
        <v>432</v>
      </c>
      <c r="N33" s="536"/>
      <c r="O33" s="528"/>
      <c r="P33" s="528"/>
      <c r="Q33" s="272">
        <f t="shared" si="0"/>
        <v>1266</v>
      </c>
      <c r="R33" s="196"/>
      <c r="S33" s="531"/>
      <c r="T33" s="534"/>
      <c r="U33" s="277">
        <f>IFERROR(R33-VLOOKUP(D33,'미니게임_DATA(순)'!$A:$FB,MATCH("rct 20g avg",'미니게임_DATA(순)'!$A$3:$FB$3,0),0),0)</f>
        <v>0</v>
      </c>
      <c r="V33" s="185"/>
      <c r="W33" s="185"/>
      <c r="Y33" s="267" t="str">
        <f>IFERROR(VLOOKUP(Z33,'미니게임_DATA(순)'!$A$4:$C$45,3,0),"-")</f>
        <v>-</v>
      </c>
      <c r="Z33" s="187">
        <f>D33</f>
        <v>0</v>
      </c>
      <c r="AA33" s="187">
        <f>SUM(E33,I33)</f>
        <v>834</v>
      </c>
    </row>
    <row r="34" spans="2:28">
      <c r="C34" s="537" t="s">
        <v>149</v>
      </c>
      <c r="D34" s="180" t="s">
        <v>8</v>
      </c>
      <c r="E34" s="275">
        <f>IFERROR(VLOOKUP(D34,'미니게임_DATA(순)'!$A$4:$EV$50,124,0),0)</f>
        <v>181</v>
      </c>
      <c r="F34" s="273"/>
      <c r="G34" s="526">
        <f>RANK(E38,($E$18,$E$23,$E$28,$E$33,E$38,$E$43))</f>
        <v>2</v>
      </c>
      <c r="H34" s="526">
        <f t="shared" ref="H34" si="21">G34</f>
        <v>2</v>
      </c>
      <c r="I34" s="275">
        <f>IFERROR(VLOOKUP(D34,'미니게임_DATA(순)'!$A$4:$EV$50,125,0),0)</f>
        <v>185</v>
      </c>
      <c r="J34" s="273"/>
      <c r="K34" s="526">
        <f>RANK(I38,($I$18,$I$23,$I$28,$I$33,I$38,$I$43))</f>
        <v>3</v>
      </c>
      <c r="L34" s="526">
        <f>RANK(AA38,($AA$18,$AA$23,$AA$28,$AA$33,$AA$38,$AA$43))</f>
        <v>3</v>
      </c>
      <c r="M34" s="275">
        <f>IFERROR(VLOOKUP(D34,'미니게임_DATA(순)'!$A$4:$EV$50,126,0),0)</f>
        <v>150</v>
      </c>
      <c r="N34" s="273"/>
      <c r="O34" s="526">
        <f>RANK(M38,($M$18,$M$23,$M$28,$M$33,$M$38,$M$43))</f>
        <v>6</v>
      </c>
      <c r="P34" s="526">
        <f t="shared" ref="P34" si="22">S34</f>
        <v>4</v>
      </c>
      <c r="Q34" s="273">
        <f t="shared" si="0"/>
        <v>516</v>
      </c>
      <c r="R34" s="274">
        <f>AVERAGE(E34,I34,M34)</f>
        <v>172</v>
      </c>
      <c r="S34" s="529">
        <f>RANK(Q38,($Q$18,$Q$23,$Q$28,$Q$33,$Q$38,$Q$43))</f>
        <v>4</v>
      </c>
      <c r="T34" s="532">
        <f>MAX($Q$18,$Q$23,Q$28,Q$33,Q$38)-Q38</f>
        <v>136</v>
      </c>
      <c r="U34" s="184">
        <f>IFERROR(R34-VLOOKUP(D34,'미니게임_DATA(순)'!$A:$FB,MATCH("rct 20g avg",'미니게임_DATA(순)'!$A$3:$FB$3,0),0),0)</f>
        <v>-18.550000000000011</v>
      </c>
      <c r="W34" s="185">
        <f t="shared" ref="W34:W35" si="23">MAX(E34,I34,M34)</f>
        <v>185</v>
      </c>
      <c r="X34" s="267">
        <f>R34</f>
        <v>172</v>
      </c>
      <c r="Y34" s="267" t="str">
        <f>IFERROR(VLOOKUP(Z34,'미니게임_DATA(순)'!$A$4:$C$45,3,0),"-")</f>
        <v>남</v>
      </c>
      <c r="Z34" s="187" t="str">
        <f t="shared" ref="Z34:Z37" si="24">D34</f>
        <v>조문수</v>
      </c>
    </row>
    <row r="35" spans="2:28" s="172" customFormat="1">
      <c r="B35" s="169"/>
      <c r="C35" s="538"/>
      <c r="D35" s="188" t="s">
        <v>282</v>
      </c>
      <c r="E35" s="275">
        <f>IFERROR(VLOOKUP(D35,'미니게임_DATA(순)'!$A$4:$EV$50,124,0),0)</f>
        <v>136</v>
      </c>
      <c r="F35" s="275"/>
      <c r="G35" s="527"/>
      <c r="H35" s="527"/>
      <c r="I35" s="275">
        <f>IFERROR(VLOOKUP(D35,'미니게임_DATA(순)'!$A$4:$EV$50,125,0),0)</f>
        <v>146</v>
      </c>
      <c r="J35" s="275"/>
      <c r="K35" s="527"/>
      <c r="L35" s="527"/>
      <c r="M35" s="275">
        <f>IFERROR(VLOOKUP(D35,'미니게임_DATA(순)'!$A$4:$EV$50,126,0),0)</f>
        <v>146</v>
      </c>
      <c r="N35" s="275"/>
      <c r="O35" s="527"/>
      <c r="P35" s="527"/>
      <c r="Q35" s="275">
        <f t="shared" si="0"/>
        <v>428</v>
      </c>
      <c r="R35" s="300">
        <f t="shared" ref="R35" si="25">AVERAGE(E35,I35,M35)</f>
        <v>142.66666666666666</v>
      </c>
      <c r="S35" s="530"/>
      <c r="T35" s="533"/>
      <c r="U35" s="190">
        <f>IFERROR(R35-VLOOKUP(D35,'미니게임_DATA(순)'!$A:$FB,MATCH("rct 20g avg",'미니게임_DATA(순)'!$A$3:$FB$3,0),0),0)</f>
        <v>-21.083333333333343</v>
      </c>
      <c r="W35" s="185">
        <f t="shared" si="23"/>
        <v>146</v>
      </c>
      <c r="X35" s="267">
        <f>R35</f>
        <v>142.66666666666666</v>
      </c>
      <c r="Y35" s="267" t="str">
        <f>IFERROR(VLOOKUP(Z35,'미니게임_DATA(순)'!$A$4:$C$45,3,0),"-")</f>
        <v>여</v>
      </c>
      <c r="Z35" s="187" t="str">
        <f t="shared" si="24"/>
        <v>손하은</v>
      </c>
      <c r="AA35" s="169"/>
      <c r="AB35" s="169"/>
    </row>
    <row r="36" spans="2:28" s="172" customFormat="1">
      <c r="B36" s="169"/>
      <c r="C36" s="538"/>
      <c r="D36" s="188" t="s">
        <v>404</v>
      </c>
      <c r="E36" s="275">
        <f>IFERROR(VLOOKUP(D36,'미니게임_DATA(순)'!$A$4:$EV$50,124,0),0)</f>
        <v>178</v>
      </c>
      <c r="F36" s="275"/>
      <c r="G36" s="527"/>
      <c r="H36" s="527"/>
      <c r="I36" s="275">
        <f>IFERROR(VLOOKUP(D36,'미니게임_DATA(순)'!$A$4:$EV$50,125,0),0)</f>
        <v>131</v>
      </c>
      <c r="J36" s="275"/>
      <c r="K36" s="527"/>
      <c r="L36" s="527"/>
      <c r="M36" s="275">
        <f>IFERROR(VLOOKUP(D36,'미니게임_DATA(순)'!$A$4:$EV$50,126,0),0)</f>
        <v>105</v>
      </c>
      <c r="N36" s="275"/>
      <c r="O36" s="527"/>
      <c r="P36" s="527"/>
      <c r="Q36" s="275">
        <f t="shared" si="0"/>
        <v>414</v>
      </c>
      <c r="R36" s="276">
        <f t="shared" ref="R36:R37" si="26">Q36/3</f>
        <v>138</v>
      </c>
      <c r="S36" s="530"/>
      <c r="T36" s="533"/>
      <c r="U36" s="190">
        <f>IFERROR(R36-VLOOKUP(D36,'미니게임_DATA(순)'!$A:$FB,MATCH("rct 20g avg",'미니게임_DATA(순)'!$A$3:$FB$3,0),0),0)</f>
        <v>1.0500000000000114</v>
      </c>
      <c r="W36" s="185"/>
      <c r="X36" s="267">
        <f>R36</f>
        <v>138</v>
      </c>
      <c r="Y36" s="267" t="str">
        <f>IFERROR(VLOOKUP(Z36,'미니게임_DATA(순)'!$A$4:$C$45,3,0),"-")</f>
        <v>남</v>
      </c>
      <c r="Z36" s="187" t="str">
        <f t="shared" si="24"/>
        <v>남준석</v>
      </c>
      <c r="AA36" s="169"/>
      <c r="AB36" s="169"/>
    </row>
    <row r="37" spans="2:28">
      <c r="C37" s="538"/>
      <c r="D37" s="188"/>
      <c r="E37" s="279"/>
      <c r="F37" s="279"/>
      <c r="G37" s="527"/>
      <c r="H37" s="527"/>
      <c r="I37" s="279"/>
      <c r="J37" s="279"/>
      <c r="K37" s="527"/>
      <c r="L37" s="527"/>
      <c r="M37" s="279"/>
      <c r="N37" s="279"/>
      <c r="O37" s="527"/>
      <c r="P37" s="527"/>
      <c r="Q37" s="279">
        <f t="shared" si="0"/>
        <v>0</v>
      </c>
      <c r="R37" s="276">
        <f t="shared" si="26"/>
        <v>0</v>
      </c>
      <c r="S37" s="530"/>
      <c r="T37" s="533"/>
      <c r="U37" s="190">
        <f>IFERROR(R37-VLOOKUP(D37,'미니게임_DATA(순)'!$A:$FB,MATCH("rct 20g avg",'미니게임_DATA(순)'!$A$3:$FB$3,0),0),0)</f>
        <v>0</v>
      </c>
      <c r="W37" s="185"/>
      <c r="Y37" s="267" t="str">
        <f>IFERROR(VLOOKUP(Z37,'미니게임_DATA(순)'!$A$4:$C$45,3,0),"-")</f>
        <v>-</v>
      </c>
      <c r="Z37" s="187">
        <f t="shared" si="24"/>
        <v>0</v>
      </c>
    </row>
    <row r="38" spans="2:28" ht="16.5">
      <c r="C38" s="539"/>
      <c r="D38" s="411"/>
      <c r="E38" s="535">
        <f>SUMIF(E34:F36, "&gt;0")</f>
        <v>495</v>
      </c>
      <c r="F38" s="498"/>
      <c r="G38" s="528"/>
      <c r="H38" s="528"/>
      <c r="I38" s="535">
        <f>SUMIF(I34:J36, "&gt;0")</f>
        <v>462</v>
      </c>
      <c r="J38" s="498"/>
      <c r="K38" s="528"/>
      <c r="L38" s="528"/>
      <c r="M38" s="535">
        <f>SUMIF(M34:N36, "&gt;0")</f>
        <v>401</v>
      </c>
      <c r="N38" s="536"/>
      <c r="O38" s="528"/>
      <c r="P38" s="528"/>
      <c r="Q38" s="272">
        <f t="shared" si="0"/>
        <v>1358</v>
      </c>
      <c r="R38" s="196"/>
      <c r="S38" s="531"/>
      <c r="T38" s="534"/>
      <c r="U38" s="277">
        <f>IFERROR(R38-VLOOKUP(D38,'미니게임_DATA(순)'!$A:$FB,MATCH("rct 20g avg",'미니게임_DATA(순)'!$A$3:$FB$3,0),0),0)</f>
        <v>0</v>
      </c>
      <c r="V38" s="185"/>
      <c r="W38" s="185"/>
      <c r="Y38" s="267" t="str">
        <f>IFERROR(VLOOKUP(Z38,'미니게임_DATA(순)'!$A$4:$C$45,3,0),"-")</f>
        <v>-</v>
      </c>
      <c r="Z38" s="187">
        <f>D38</f>
        <v>0</v>
      </c>
      <c r="AA38" s="187">
        <f>SUM(E38,I38)</f>
        <v>957</v>
      </c>
    </row>
    <row r="39" spans="2:28">
      <c r="C39" s="537" t="s">
        <v>373</v>
      </c>
      <c r="D39" s="180" t="s">
        <v>241</v>
      </c>
      <c r="E39" s="275">
        <f>IFERROR(VLOOKUP(D39,'미니게임_DATA(순)'!$A$4:$EV$50,124,0),0)</f>
        <v>180</v>
      </c>
      <c r="F39" s="273"/>
      <c r="G39" s="526">
        <f>RANK(E43,($E$18,$E$23,$E$28,$E$33,E$38,$E$43))</f>
        <v>3</v>
      </c>
      <c r="H39" s="526">
        <f t="shared" ref="H39" si="27">G39</f>
        <v>3</v>
      </c>
      <c r="I39" s="275">
        <f>IFERROR(VLOOKUP(D39,'미니게임_DATA(순)'!$A$4:$EV$50,125,0),0)</f>
        <v>190</v>
      </c>
      <c r="J39" s="273"/>
      <c r="K39" s="526">
        <f>RANK(I43,($I$18,$I$23,$I$28,$I$33,I$38,$I$43))</f>
        <v>1</v>
      </c>
      <c r="L39" s="526">
        <f>RANK(AA43,($AA$18,$AA$23,$AA$28,$AA$33,$AA$38,$AA$43))</f>
        <v>1</v>
      </c>
      <c r="M39" s="275">
        <f>IFERROR(VLOOKUP(D39,'미니게임_DATA(순)'!$A$4:$EV$50,126,0),0)</f>
        <v>135</v>
      </c>
      <c r="N39" s="273"/>
      <c r="O39" s="526">
        <f>RANK(M43,($M$18,$M$23,$M$28,$M$33,$M$38,$M$43))</f>
        <v>4</v>
      </c>
      <c r="P39" s="526">
        <f t="shared" ref="P39" si="28">S39</f>
        <v>2</v>
      </c>
      <c r="Q39" s="273">
        <f t="shared" si="0"/>
        <v>505</v>
      </c>
      <c r="R39" s="274">
        <f>AVERAGE(E39,I39,M39)</f>
        <v>168.33333333333334</v>
      </c>
      <c r="S39" s="529">
        <f>RANK(Q43,($Q$18,$Q$23,$Q$28,$Q$33,$Q$38,$Q$43))</f>
        <v>2</v>
      </c>
      <c r="T39" s="532">
        <f>MAX($Q$18,$Q$23,Q$28,Q$33,Q$38)-Q43</f>
        <v>26</v>
      </c>
      <c r="U39" s="184">
        <f>IFERROR(R39-VLOOKUP(D39,'미니게임_DATA(순)'!$A:$FB,MATCH("rct 20g avg",'미니게임_DATA(순)'!$A$3:$FB$3,0),0),0)</f>
        <v>10.183333333333337</v>
      </c>
      <c r="W39" s="185">
        <f t="shared" ref="W39:W41" si="29">MAX(E39,I39,M39)</f>
        <v>190</v>
      </c>
      <c r="X39" s="267">
        <f>R39</f>
        <v>168.33333333333334</v>
      </c>
      <c r="Y39" s="267" t="str">
        <f>IFERROR(VLOOKUP(Z39,'미니게임_DATA(순)'!$A$4:$C$45,3,0),"-")</f>
        <v>남</v>
      </c>
      <c r="Z39" s="187" t="str">
        <f t="shared" ref="Z39:Z42" si="30">D39</f>
        <v>이유재</v>
      </c>
    </row>
    <row r="40" spans="2:28">
      <c r="C40" s="538"/>
      <c r="D40" s="188" t="s">
        <v>10</v>
      </c>
      <c r="E40" s="275">
        <f>IFERROR(VLOOKUP(D40,'미니게임_DATA(순)'!$A$4:$EV$50,124,0),0)</f>
        <v>159</v>
      </c>
      <c r="F40" s="275"/>
      <c r="G40" s="527"/>
      <c r="H40" s="527"/>
      <c r="I40" s="275">
        <f>IFERROR(VLOOKUP(D40,'미니게임_DATA(순)'!$A$4:$EV$50,125,0),0)</f>
        <v>144</v>
      </c>
      <c r="J40" s="275"/>
      <c r="K40" s="527"/>
      <c r="L40" s="527"/>
      <c r="M40" s="275">
        <f>IFERROR(VLOOKUP(D40,'미니게임_DATA(순)'!$A$4:$EV$50,126,0),0)</f>
        <v>190</v>
      </c>
      <c r="N40" s="275"/>
      <c r="O40" s="527"/>
      <c r="P40" s="527"/>
      <c r="Q40" s="275">
        <f t="shared" si="0"/>
        <v>493</v>
      </c>
      <c r="R40" s="300">
        <f t="shared" ref="R40" si="31">AVERAGE(E40,I40,M40)</f>
        <v>164.33333333333334</v>
      </c>
      <c r="S40" s="530"/>
      <c r="T40" s="533"/>
      <c r="U40" s="190">
        <f>IFERROR(R40-VLOOKUP(D40,'미니게임_DATA(순)'!$A:$FB,MATCH("rct 20g avg",'미니게임_DATA(순)'!$A$3:$FB$3,0),0),0)</f>
        <v>13.433333333333337</v>
      </c>
      <c r="W40" s="185">
        <f t="shared" si="29"/>
        <v>190</v>
      </c>
      <c r="X40" s="267">
        <f>R40</f>
        <v>164.33333333333334</v>
      </c>
      <c r="Y40" s="267" t="str">
        <f>IFERROR(VLOOKUP(Z40,'미니게임_DATA(순)'!$A$4:$C$45,3,0),"-")</f>
        <v>남</v>
      </c>
      <c r="Z40" s="187" t="str">
        <f t="shared" si="30"/>
        <v>김신철</v>
      </c>
    </row>
    <row r="41" spans="2:28">
      <c r="C41" s="538"/>
      <c r="D41" s="188" t="s">
        <v>339</v>
      </c>
      <c r="E41" s="275">
        <f>IFERROR(VLOOKUP(D41,'미니게임_DATA(순)'!$A$4:$EV$50,124,0),0)</f>
        <v>132</v>
      </c>
      <c r="F41" s="275">
        <v>15</v>
      </c>
      <c r="G41" s="527"/>
      <c r="H41" s="527"/>
      <c r="I41" s="275">
        <f>IFERROR(VLOOKUP(D41,'미니게임_DATA(순)'!$A$4:$EV$50,125,0),0)</f>
        <v>162</v>
      </c>
      <c r="J41" s="275">
        <v>15</v>
      </c>
      <c r="K41" s="527"/>
      <c r="L41" s="527"/>
      <c r="M41" s="275">
        <f>IFERROR(VLOOKUP(D41,'미니게임_DATA(순)'!$A$4:$EV$50,126,0),0)</f>
        <v>131</v>
      </c>
      <c r="N41" s="275">
        <v>15</v>
      </c>
      <c r="O41" s="527"/>
      <c r="P41" s="527"/>
      <c r="Q41" s="275">
        <f t="shared" si="0"/>
        <v>425</v>
      </c>
      <c r="R41" s="276">
        <f t="shared" ref="R41:R42" si="32">Q41/3</f>
        <v>141.66666666666666</v>
      </c>
      <c r="S41" s="530"/>
      <c r="T41" s="533"/>
      <c r="U41" s="190">
        <f>IFERROR(R41-VLOOKUP(D41,'미니게임_DATA(순)'!$A:$FB,MATCH("rct 20g avg",'미니게임_DATA(순)'!$A$3:$FB$3,0),0),0)</f>
        <v>23.1111111111111</v>
      </c>
      <c r="W41" s="185">
        <f t="shared" si="29"/>
        <v>162</v>
      </c>
      <c r="X41" s="267">
        <f>R41</f>
        <v>141.66666666666666</v>
      </c>
      <c r="Y41" s="267" t="str">
        <f>IFERROR(VLOOKUP(Z41,'미니게임_DATA(순)'!$A$4:$C$45,3,0),"-")</f>
        <v>남</v>
      </c>
      <c r="Z41" s="187" t="str">
        <f t="shared" si="30"/>
        <v>심재국</v>
      </c>
    </row>
    <row r="42" spans="2:28">
      <c r="C42" s="538"/>
      <c r="D42" s="188"/>
      <c r="E42" s="279"/>
      <c r="F42" s="279"/>
      <c r="G42" s="527"/>
      <c r="H42" s="527"/>
      <c r="I42" s="279"/>
      <c r="J42" s="279"/>
      <c r="K42" s="527"/>
      <c r="L42" s="527"/>
      <c r="M42" s="279"/>
      <c r="N42" s="279"/>
      <c r="O42" s="527"/>
      <c r="P42" s="527"/>
      <c r="Q42" s="279">
        <f t="shared" si="0"/>
        <v>0</v>
      </c>
      <c r="R42" s="276">
        <f t="shared" si="32"/>
        <v>0</v>
      </c>
      <c r="S42" s="530"/>
      <c r="T42" s="533"/>
      <c r="U42" s="190">
        <f>IFERROR(R42-VLOOKUP(D42,'미니게임_DATA(순)'!$A:$FB,MATCH("rct 20g avg",'미니게임_DATA(순)'!$A$3:$FB$3,0),0),0)</f>
        <v>0</v>
      </c>
      <c r="W42" s="185"/>
      <c r="Y42" s="267" t="str">
        <f>IFERROR(VLOOKUP(Z42,'미니게임_DATA(순)'!$A$4:$C$45,3,0),"-")</f>
        <v>-</v>
      </c>
      <c r="Z42" s="187">
        <f t="shared" si="30"/>
        <v>0</v>
      </c>
    </row>
    <row r="43" spans="2:28" ht="16.5">
      <c r="C43" s="539"/>
      <c r="D43" s="411"/>
      <c r="E43" s="535">
        <f>SUMIF(E39:F41, "&gt;0")</f>
        <v>486</v>
      </c>
      <c r="F43" s="498"/>
      <c r="G43" s="528"/>
      <c r="H43" s="528"/>
      <c r="I43" s="535">
        <f>SUMIF(I39:J41, "&gt;0")</f>
        <v>511</v>
      </c>
      <c r="J43" s="498"/>
      <c r="K43" s="528"/>
      <c r="L43" s="528"/>
      <c r="M43" s="535">
        <f>SUMIF(M39:N41, "&gt;0")</f>
        <v>471</v>
      </c>
      <c r="N43" s="536"/>
      <c r="O43" s="528"/>
      <c r="P43" s="528"/>
      <c r="Q43" s="272">
        <f t="shared" si="0"/>
        <v>1468</v>
      </c>
      <c r="R43" s="196"/>
      <c r="S43" s="531"/>
      <c r="T43" s="534"/>
      <c r="U43" s="277">
        <f>IFERROR(R43-VLOOKUP(D43,'미니게임_DATA(순)'!$A:$FB,MATCH("rct 20g avg",'미니게임_DATA(순)'!$A$3:$FB$3,0),0),0)</f>
        <v>0</v>
      </c>
      <c r="W43" s="185"/>
      <c r="Y43" s="267" t="str">
        <f>IFERROR(VLOOKUP(Z43,'미니게임_DATA(순)'!$A$4:$C$45,3,0),"-")</f>
        <v>-</v>
      </c>
      <c r="Z43" s="187">
        <f>D43</f>
        <v>0</v>
      </c>
      <c r="AA43" s="187">
        <f>SUM(E43,I43)</f>
        <v>997</v>
      </c>
    </row>
  </sheetData>
  <mergeCells count="89">
    <mergeCell ref="P39:P43"/>
    <mergeCell ref="S39:S43"/>
    <mergeCell ref="T39:T43"/>
    <mergeCell ref="E43:F43"/>
    <mergeCell ref="I43:J43"/>
    <mergeCell ref="M43:N43"/>
    <mergeCell ref="O39:O43"/>
    <mergeCell ref="C39:C43"/>
    <mergeCell ref="G39:G43"/>
    <mergeCell ref="H39:H43"/>
    <mergeCell ref="K39:K43"/>
    <mergeCell ref="L39:L43"/>
    <mergeCell ref="P34:P38"/>
    <mergeCell ref="S34:S38"/>
    <mergeCell ref="T34:T38"/>
    <mergeCell ref="E38:F38"/>
    <mergeCell ref="I38:J38"/>
    <mergeCell ref="M38:N38"/>
    <mergeCell ref="O34:O38"/>
    <mergeCell ref="C34:C38"/>
    <mergeCell ref="G34:G38"/>
    <mergeCell ref="H34:H38"/>
    <mergeCell ref="K34:K38"/>
    <mergeCell ref="L34:L38"/>
    <mergeCell ref="P29:P33"/>
    <mergeCell ref="S29:S33"/>
    <mergeCell ref="T29:T33"/>
    <mergeCell ref="E33:F33"/>
    <mergeCell ref="I33:J33"/>
    <mergeCell ref="M33:N33"/>
    <mergeCell ref="O29:O33"/>
    <mergeCell ref="C29:C33"/>
    <mergeCell ref="G29:G33"/>
    <mergeCell ref="H29:H33"/>
    <mergeCell ref="K29:K33"/>
    <mergeCell ref="L29:L33"/>
    <mergeCell ref="P24:P28"/>
    <mergeCell ref="S24:S28"/>
    <mergeCell ref="T24:T28"/>
    <mergeCell ref="E28:F28"/>
    <mergeCell ref="I28:J28"/>
    <mergeCell ref="M28:N28"/>
    <mergeCell ref="O24:O28"/>
    <mergeCell ref="C24:C28"/>
    <mergeCell ref="G24:G28"/>
    <mergeCell ref="H24:H28"/>
    <mergeCell ref="K24:K28"/>
    <mergeCell ref="L24:L28"/>
    <mergeCell ref="P19:P23"/>
    <mergeCell ref="S19:S23"/>
    <mergeCell ref="T19:T23"/>
    <mergeCell ref="E23:F23"/>
    <mergeCell ref="I23:J23"/>
    <mergeCell ref="M23:N23"/>
    <mergeCell ref="O19:O23"/>
    <mergeCell ref="C19:C23"/>
    <mergeCell ref="G19:G23"/>
    <mergeCell ref="H19:H23"/>
    <mergeCell ref="K19:K23"/>
    <mergeCell ref="L19:L23"/>
    <mergeCell ref="P14:P18"/>
    <mergeCell ref="S14:S18"/>
    <mergeCell ref="T14:T18"/>
    <mergeCell ref="E18:F18"/>
    <mergeCell ref="I18:J18"/>
    <mergeCell ref="M18:N18"/>
    <mergeCell ref="U11:U13"/>
    <mergeCell ref="E12:H12"/>
    <mergeCell ref="I12:L12"/>
    <mergeCell ref="M12:P12"/>
    <mergeCell ref="C14:C18"/>
    <mergeCell ref="G14:G18"/>
    <mergeCell ref="H14:H18"/>
    <mergeCell ref="K14:K18"/>
    <mergeCell ref="L14:L18"/>
    <mergeCell ref="O14:O18"/>
    <mergeCell ref="C11:C13"/>
    <mergeCell ref="D11:D13"/>
    <mergeCell ref="E11:P11"/>
    <mergeCell ref="Q11:Q13"/>
    <mergeCell ref="R11:R13"/>
    <mergeCell ref="S11:T12"/>
    <mergeCell ref="B2:B3"/>
    <mergeCell ref="B4:B5"/>
    <mergeCell ref="B6:B9"/>
    <mergeCell ref="D6:E6"/>
    <mergeCell ref="D7:E7"/>
    <mergeCell ref="D8:E8"/>
    <mergeCell ref="D9:E9"/>
  </mergeCells>
  <phoneticPr fontId="2" type="noConversion"/>
  <conditionalFormatting sqref="G44:H1048576 O44:P1048576 K44:L1048576 O12:P13 G1:H13 K1:L13 O1:P10">
    <cfRule type="cellIs" dxfId="289" priority="65" operator="equal">
      <formula>1</formula>
    </cfRule>
  </conditionalFormatting>
  <conditionalFormatting sqref="P14:P33">
    <cfRule type="cellIs" dxfId="288" priority="63" operator="equal">
      <formula>1</formula>
    </cfRule>
  </conditionalFormatting>
  <conditionalFormatting sqref="G14:H14 H15:H33">
    <cfRule type="cellIs" dxfId="287" priority="64" operator="equal">
      <formula>1</formula>
    </cfRule>
  </conditionalFormatting>
  <conditionalFormatting sqref="K14:L14 L15:L18">
    <cfRule type="cellIs" dxfId="286" priority="62" operator="equal">
      <formula>1</formula>
    </cfRule>
  </conditionalFormatting>
  <conditionalFormatting sqref="O14">
    <cfRule type="cellIs" dxfId="285" priority="61" operator="equal">
      <formula>1</formula>
    </cfRule>
  </conditionalFormatting>
  <conditionalFormatting sqref="R5">
    <cfRule type="cellIs" dxfId="284" priority="60" operator="greaterThan">
      <formula>200</formula>
    </cfRule>
  </conditionalFormatting>
  <conditionalFormatting sqref="E2:E5">
    <cfRule type="cellIs" dxfId="283" priority="59" operator="greaterThan">
      <formula>199.5</formula>
    </cfRule>
  </conditionalFormatting>
  <conditionalFormatting sqref="E14:E17 E19:E22 E24:E27 E29:E31 I14:I17 I19:I22 I24:I27 I29:I32 M14:M17 M19:M22 M24:M27 M29:M32">
    <cfRule type="cellIs" dxfId="282" priority="58" operator="greaterThan">
      <formula>199.5</formula>
    </cfRule>
  </conditionalFormatting>
  <conditionalFormatting sqref="H34:H38">
    <cfRule type="cellIs" dxfId="281" priority="42" operator="equal">
      <formula>1</formula>
    </cfRule>
  </conditionalFormatting>
  <conditionalFormatting sqref="P34:P38">
    <cfRule type="cellIs" dxfId="280" priority="41" operator="equal">
      <formula>1</formula>
    </cfRule>
  </conditionalFormatting>
  <conditionalFormatting sqref="P39:P43">
    <cfRule type="cellIs" dxfId="279" priority="40" operator="equal">
      <formula>1</formula>
    </cfRule>
  </conditionalFormatting>
  <conditionalFormatting sqref="H39:H43">
    <cfRule type="cellIs" dxfId="278" priority="39" operator="equal">
      <formula>1</formula>
    </cfRule>
  </conditionalFormatting>
  <conditionalFormatting sqref="G19">
    <cfRule type="cellIs" dxfId="277" priority="38" operator="equal">
      <formula>1</formula>
    </cfRule>
  </conditionalFormatting>
  <conditionalFormatting sqref="G24">
    <cfRule type="cellIs" dxfId="276" priority="37" operator="equal">
      <formula>1</formula>
    </cfRule>
  </conditionalFormatting>
  <conditionalFormatting sqref="G29">
    <cfRule type="cellIs" dxfId="275" priority="36" operator="equal">
      <formula>1</formula>
    </cfRule>
  </conditionalFormatting>
  <conditionalFormatting sqref="G34">
    <cfRule type="cellIs" dxfId="274" priority="35" operator="equal">
      <formula>1</formula>
    </cfRule>
  </conditionalFormatting>
  <conditionalFormatting sqref="G39">
    <cfRule type="cellIs" dxfId="273" priority="34" operator="equal">
      <formula>1</formula>
    </cfRule>
  </conditionalFormatting>
  <conditionalFormatting sqref="K19">
    <cfRule type="cellIs" dxfId="272" priority="33" operator="equal">
      <formula>1</formula>
    </cfRule>
  </conditionalFormatting>
  <conditionalFormatting sqref="K24">
    <cfRule type="cellIs" dxfId="271" priority="32" operator="equal">
      <formula>1</formula>
    </cfRule>
  </conditionalFormatting>
  <conditionalFormatting sqref="K29">
    <cfRule type="cellIs" dxfId="270" priority="31" operator="equal">
      <formula>1</formula>
    </cfRule>
  </conditionalFormatting>
  <conditionalFormatting sqref="K34">
    <cfRule type="cellIs" dxfId="269" priority="30" operator="equal">
      <formula>1</formula>
    </cfRule>
  </conditionalFormatting>
  <conditionalFormatting sqref="K39">
    <cfRule type="cellIs" dxfId="268" priority="29" operator="equal">
      <formula>1</formula>
    </cfRule>
  </conditionalFormatting>
  <conditionalFormatting sqref="L19:L23">
    <cfRule type="cellIs" dxfId="267" priority="28" operator="equal">
      <formula>1</formula>
    </cfRule>
  </conditionalFormatting>
  <conditionalFormatting sqref="L24:L28">
    <cfRule type="cellIs" dxfId="266" priority="27" operator="equal">
      <formula>1</formula>
    </cfRule>
  </conditionalFormatting>
  <conditionalFormatting sqref="L29:L33">
    <cfRule type="cellIs" dxfId="265" priority="26" operator="equal">
      <formula>1</formula>
    </cfRule>
  </conditionalFormatting>
  <conditionalFormatting sqref="L34:L38">
    <cfRule type="cellIs" dxfId="264" priority="25" operator="equal">
      <formula>1</formula>
    </cfRule>
  </conditionalFormatting>
  <conditionalFormatting sqref="L39:L43">
    <cfRule type="cellIs" dxfId="263" priority="24" operator="equal">
      <formula>1</formula>
    </cfRule>
  </conditionalFormatting>
  <conditionalFormatting sqref="O19">
    <cfRule type="cellIs" dxfId="262" priority="23" operator="equal">
      <formula>1</formula>
    </cfRule>
  </conditionalFormatting>
  <conditionalFormatting sqref="O24">
    <cfRule type="cellIs" dxfId="261" priority="22" operator="equal">
      <formula>1</formula>
    </cfRule>
  </conditionalFormatting>
  <conditionalFormatting sqref="O29">
    <cfRule type="cellIs" dxfId="260" priority="21" operator="equal">
      <formula>1</formula>
    </cfRule>
  </conditionalFormatting>
  <conditionalFormatting sqref="O34">
    <cfRule type="cellIs" dxfId="259" priority="20" operator="equal">
      <formula>1</formula>
    </cfRule>
  </conditionalFormatting>
  <conditionalFormatting sqref="O39">
    <cfRule type="cellIs" dxfId="258" priority="19" operator="equal">
      <formula>1</formula>
    </cfRule>
  </conditionalFormatting>
  <conditionalFormatting sqref="E34">
    <cfRule type="cellIs" dxfId="257" priority="18" operator="greaterThan">
      <formula>199.5</formula>
    </cfRule>
  </conditionalFormatting>
  <conditionalFormatting sqref="E35">
    <cfRule type="cellIs" dxfId="256" priority="17" operator="greaterThan">
      <formula>199.5</formula>
    </cfRule>
  </conditionalFormatting>
  <conditionalFormatting sqref="E36">
    <cfRule type="cellIs" dxfId="255" priority="16" operator="greaterThan">
      <formula>199.5</formula>
    </cfRule>
  </conditionalFormatting>
  <conditionalFormatting sqref="E39">
    <cfRule type="cellIs" dxfId="254" priority="15" operator="greaterThan">
      <formula>199.5</formula>
    </cfRule>
  </conditionalFormatting>
  <conditionalFormatting sqref="E40">
    <cfRule type="cellIs" dxfId="253" priority="14" operator="greaterThan">
      <formula>199.5</formula>
    </cfRule>
  </conditionalFormatting>
  <conditionalFormatting sqref="E41">
    <cfRule type="cellIs" dxfId="252" priority="13" operator="greaterThan">
      <formula>199.5</formula>
    </cfRule>
  </conditionalFormatting>
  <conditionalFormatting sqref="I34">
    <cfRule type="cellIs" dxfId="251" priority="12" operator="greaterThan">
      <formula>199.5</formula>
    </cfRule>
  </conditionalFormatting>
  <conditionalFormatting sqref="I35">
    <cfRule type="cellIs" dxfId="250" priority="11" operator="greaterThan">
      <formula>199.5</formula>
    </cfRule>
  </conditionalFormatting>
  <conditionalFormatting sqref="I36">
    <cfRule type="cellIs" dxfId="249" priority="10" operator="greaterThan">
      <formula>199.5</formula>
    </cfRule>
  </conditionalFormatting>
  <conditionalFormatting sqref="I39">
    <cfRule type="cellIs" dxfId="248" priority="9" operator="greaterThan">
      <formula>199.5</formula>
    </cfRule>
  </conditionalFormatting>
  <conditionalFormatting sqref="I40">
    <cfRule type="cellIs" dxfId="247" priority="8" operator="greaterThan">
      <formula>199.5</formula>
    </cfRule>
  </conditionalFormatting>
  <conditionalFormatting sqref="I41">
    <cfRule type="cellIs" dxfId="246" priority="7" operator="greaterThan">
      <formula>199.5</formula>
    </cfRule>
  </conditionalFormatting>
  <conditionalFormatting sqref="M34">
    <cfRule type="cellIs" dxfId="245" priority="6" operator="greaterThan">
      <formula>199.5</formula>
    </cfRule>
  </conditionalFormatting>
  <conditionalFormatting sqref="M35">
    <cfRule type="cellIs" dxfId="244" priority="5" operator="greaterThan">
      <formula>199.5</formula>
    </cfRule>
  </conditionalFormatting>
  <conditionalFormatting sqref="M36">
    <cfRule type="cellIs" dxfId="243" priority="4" operator="greaterThan">
      <formula>199.5</formula>
    </cfRule>
  </conditionalFormatting>
  <conditionalFormatting sqref="M39">
    <cfRule type="cellIs" dxfId="242" priority="3" operator="greaterThan">
      <formula>199.5</formula>
    </cfRule>
  </conditionalFormatting>
  <conditionalFormatting sqref="M40">
    <cfRule type="cellIs" dxfId="241" priority="2" operator="greaterThan">
      <formula>199.5</formula>
    </cfRule>
  </conditionalFormatting>
  <conditionalFormatting sqref="M41">
    <cfRule type="cellIs" dxfId="240" priority="1" operator="greaterThan">
      <formula>199.5</formula>
    </cfRule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3"/>
  <sheetViews>
    <sheetView showGridLines="0" zoomScale="85" zoomScaleNormal="85" workbookViewId="0">
      <selection activeCell="T52" sqref="T52"/>
    </sheetView>
  </sheetViews>
  <sheetFormatPr defaultColWidth="9" defaultRowHeight="13.5"/>
  <cols>
    <col min="1" max="5" width="9" style="169"/>
    <col min="6" max="8" width="5.375" style="169" customWidth="1"/>
    <col min="9" max="9" width="9" style="169"/>
    <col min="10" max="12" width="5.375" style="169" customWidth="1"/>
    <col min="13" max="13" width="9" style="169"/>
    <col min="14" max="16" width="5.375" style="169" customWidth="1"/>
    <col min="17" max="17" width="7.375" style="170" customWidth="1"/>
    <col min="18" max="18" width="7.375" style="171" customWidth="1"/>
    <col min="19" max="20" width="7.375" style="169" customWidth="1"/>
    <col min="21" max="21" width="9" style="169"/>
    <col min="22" max="23" width="9" style="172" hidden="1" customWidth="1"/>
    <col min="24" max="25" width="9" style="267" hidden="1" customWidth="1"/>
    <col min="26" max="28" width="9" style="169" hidden="1" customWidth="1"/>
    <col min="29" max="16384" width="9" style="169"/>
  </cols>
  <sheetData>
    <row r="2" spans="2:28">
      <c r="B2" s="550" t="s">
        <v>154</v>
      </c>
      <c r="C2" s="166" t="s">
        <v>156</v>
      </c>
      <c r="D2" s="167" t="str">
        <f>VLOOKUP(E2,W14:Z37,4,0)</f>
        <v>조문수</v>
      </c>
      <c r="E2" s="198">
        <f t="array" ref="E2">MAX(IF(Y14:Y38="남",W14:W38))</f>
        <v>223</v>
      </c>
      <c r="F2" s="268"/>
    </row>
    <row r="3" spans="2:28">
      <c r="B3" s="551"/>
      <c r="C3" s="166" t="s">
        <v>157</v>
      </c>
      <c r="D3" s="167" t="str">
        <f>VLOOKUP(E3,W15:Z38,4,0)</f>
        <v>성소라</v>
      </c>
      <c r="E3" s="198">
        <f t="array" ref="E3">MAX(IF(Y15:Y39="여",W15:W39))</f>
        <v>187</v>
      </c>
      <c r="F3" s="268"/>
    </row>
    <row r="4" spans="2:28">
      <c r="B4" s="550" t="s">
        <v>158</v>
      </c>
      <c r="C4" s="166" t="s">
        <v>156</v>
      </c>
      <c r="D4" s="167" t="str">
        <f>VLOOKUP(E4,X14:Z38,3,0)</f>
        <v>조문수</v>
      </c>
      <c r="E4" s="168">
        <f t="array" ref="E4">MAX(IF(Y14:Y38="남",X14:X38))</f>
        <v>192.66666666666666</v>
      </c>
      <c r="F4" s="268"/>
    </row>
    <row r="5" spans="2:28">
      <c r="B5" s="551"/>
      <c r="C5" s="166" t="s">
        <v>157</v>
      </c>
      <c r="D5" s="167" t="str">
        <f>VLOOKUP(E5,X15:Z39,3,0)</f>
        <v>손하은</v>
      </c>
      <c r="E5" s="168">
        <f t="array" ref="E5">MAX(IF(Y14:Y38="여",X14:X38))</f>
        <v>166.33333333333334</v>
      </c>
      <c r="F5" s="268"/>
    </row>
    <row r="6" spans="2:28" ht="16.5">
      <c r="B6" s="550" t="s">
        <v>224</v>
      </c>
      <c r="C6" s="235" t="s">
        <v>154</v>
      </c>
      <c r="D6" s="554" t="s">
        <v>8</v>
      </c>
      <c r="E6" s="472"/>
      <c r="F6" s="269"/>
    </row>
    <row r="7" spans="2:28" ht="16.5">
      <c r="B7" s="552"/>
      <c r="C7" s="235" t="s">
        <v>226</v>
      </c>
      <c r="D7" s="554" t="s">
        <v>12</v>
      </c>
      <c r="E7" s="472"/>
      <c r="F7" s="269"/>
    </row>
    <row r="8" spans="2:28" ht="16.5">
      <c r="B8" s="552"/>
      <c r="C8" s="235" t="s">
        <v>88</v>
      </c>
      <c r="D8" s="554"/>
      <c r="E8" s="498"/>
      <c r="F8" s="270"/>
    </row>
    <row r="9" spans="2:28" ht="16.5">
      <c r="B9" s="553"/>
      <c r="C9" s="235" t="s">
        <v>227</v>
      </c>
      <c r="D9" s="554"/>
      <c r="E9" s="472"/>
      <c r="F9" s="269"/>
      <c r="G9" s="386"/>
    </row>
    <row r="11" spans="2:28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545"/>
      <c r="M11" s="545"/>
      <c r="N11" s="546"/>
      <c r="O11" s="546"/>
      <c r="P11" s="496"/>
      <c r="Q11" s="547" t="s">
        <v>142</v>
      </c>
      <c r="R11" s="548" t="s">
        <v>184</v>
      </c>
      <c r="S11" s="542" t="s">
        <v>169</v>
      </c>
      <c r="T11" s="542"/>
      <c r="U11" s="542" t="s">
        <v>335</v>
      </c>
    </row>
    <row r="12" spans="2:28">
      <c r="C12" s="543"/>
      <c r="D12" s="543"/>
      <c r="E12" s="543">
        <v>1</v>
      </c>
      <c r="F12" s="543"/>
      <c r="G12" s="543"/>
      <c r="H12" s="543"/>
      <c r="I12" s="543">
        <v>2</v>
      </c>
      <c r="J12" s="543"/>
      <c r="K12" s="543"/>
      <c r="L12" s="543"/>
      <c r="M12" s="543">
        <v>3</v>
      </c>
      <c r="N12" s="543"/>
      <c r="O12" s="543"/>
      <c r="P12" s="543"/>
      <c r="Q12" s="547"/>
      <c r="R12" s="549"/>
      <c r="S12" s="542"/>
      <c r="T12" s="542"/>
      <c r="U12" s="542"/>
      <c r="AB12" s="172"/>
    </row>
    <row r="13" spans="2:28" ht="27">
      <c r="C13" s="543"/>
      <c r="D13" s="543"/>
      <c r="E13" s="398" t="s">
        <v>150</v>
      </c>
      <c r="F13" s="397" t="s">
        <v>302</v>
      </c>
      <c r="G13" s="397" t="s">
        <v>152</v>
      </c>
      <c r="H13" s="397" t="s">
        <v>153</v>
      </c>
      <c r="I13" s="398" t="s">
        <v>150</v>
      </c>
      <c r="J13" s="397" t="s">
        <v>302</v>
      </c>
      <c r="K13" s="397" t="s">
        <v>152</v>
      </c>
      <c r="L13" s="397" t="s">
        <v>153</v>
      </c>
      <c r="M13" s="398" t="s">
        <v>150</v>
      </c>
      <c r="N13" s="397" t="s">
        <v>302</v>
      </c>
      <c r="O13" s="397" t="s">
        <v>152</v>
      </c>
      <c r="P13" s="397" t="s">
        <v>153</v>
      </c>
      <c r="Q13" s="547"/>
      <c r="R13" s="549"/>
      <c r="S13" s="397" t="s">
        <v>144</v>
      </c>
      <c r="T13" s="398" t="s">
        <v>168</v>
      </c>
      <c r="U13" s="543"/>
      <c r="W13" s="172" t="s">
        <v>170</v>
      </c>
      <c r="X13" s="267" t="s">
        <v>171</v>
      </c>
    </row>
    <row r="14" spans="2:28">
      <c r="C14" s="537" t="s">
        <v>145</v>
      </c>
      <c r="D14" s="180" t="s">
        <v>8</v>
      </c>
      <c r="E14" s="273">
        <f>IFERROR(VLOOKUP(D14,'미니게임_DATA(순)'!$A$4:$EV$50,121,0),0)</f>
        <v>169</v>
      </c>
      <c r="F14" s="273"/>
      <c r="G14" s="526">
        <f>RANK(E18,($E$18,$E$23,$E$28,$E$33,E$38,$E$43))</f>
        <v>2</v>
      </c>
      <c r="H14" s="526">
        <f>G14</f>
        <v>2</v>
      </c>
      <c r="I14" s="273">
        <f>IFERROR(VLOOKUP(D14,'미니게임_DATA(순)'!$A$4:$EV$50,122,0),0)</f>
        <v>223</v>
      </c>
      <c r="J14" s="273"/>
      <c r="K14" s="526">
        <f>RANK(I18,($I$18,$I$23,$I$28,$I$33,I$38,$I$43))</f>
        <v>2</v>
      </c>
      <c r="L14" s="526">
        <f>RANK(AA18,($AA$18,$AA$23,$AA$28,$AA$33,$AA$38,$AA$43))</f>
        <v>1</v>
      </c>
      <c r="M14" s="273">
        <f>IFERROR(VLOOKUP(D14,'미니게임_DATA(순)'!$A$4:$EV$50,123,0),0)</f>
        <v>186</v>
      </c>
      <c r="N14" s="273"/>
      <c r="O14" s="526">
        <f>RANK(M18,($M$18,$M$23,$M$28,$M$33,$M$38,$M$43))</f>
        <v>1</v>
      </c>
      <c r="P14" s="526">
        <f>S14</f>
        <v>1</v>
      </c>
      <c r="Q14" s="273">
        <f t="shared" ref="Q14:Q33" si="0">E14+I14+M14</f>
        <v>578</v>
      </c>
      <c r="R14" s="274">
        <f>AVERAGE(E14,I14,M14)</f>
        <v>192.66666666666666</v>
      </c>
      <c r="S14" s="529">
        <f>RANK(Q18,($Q$18,$Q$23,$Q$28,$Q$33,$Q$38,$Q$43))</f>
        <v>1</v>
      </c>
      <c r="T14" s="541">
        <f>MAX($Q$18,$Q$23,Q$28,Q$33,Q$38)-Q18</f>
        <v>0</v>
      </c>
      <c r="U14" s="184">
        <f>IFERROR(R14-VLOOKUP(D14,'미니게임_DATA(순)'!$A:$FB,MATCH("rct 20g avg",'미니게임_DATA(순)'!$A$3:$FB$3,0),0),0)</f>
        <v>2.1166666666666458</v>
      </c>
      <c r="W14" s="185">
        <f>MAX(E14,I14,M14)</f>
        <v>223</v>
      </c>
      <c r="X14" s="267">
        <f>R14</f>
        <v>192.66666666666666</v>
      </c>
      <c r="Y14" s="267" t="str">
        <f>VLOOKUP(Z14,'미니게임_DATA(순)'!$A$4:$C$45,3,0)</f>
        <v>남</v>
      </c>
      <c r="Z14" s="187" t="str">
        <f>D14</f>
        <v>조문수</v>
      </c>
    </row>
    <row r="15" spans="2:28">
      <c r="C15" s="538"/>
      <c r="D15" s="188" t="s">
        <v>10</v>
      </c>
      <c r="E15" s="275">
        <f>IFERROR(VLOOKUP(D15,'미니게임_DATA(순)'!$A$4:$EV$50,121,0),0)</f>
        <v>144</v>
      </c>
      <c r="F15" s="275"/>
      <c r="G15" s="527"/>
      <c r="H15" s="527"/>
      <c r="I15" s="275">
        <f>IFERROR(VLOOKUP(D15,'미니게임_DATA(순)'!$A$4:$EV$50,122,0),0)</f>
        <v>137</v>
      </c>
      <c r="J15" s="275"/>
      <c r="K15" s="527"/>
      <c r="L15" s="527"/>
      <c r="M15" s="275">
        <f>IFERROR(VLOOKUP(D15,'미니게임_DATA(순)'!$A$4:$EV$50,123,0),0)</f>
        <v>188</v>
      </c>
      <c r="N15" s="275"/>
      <c r="O15" s="527"/>
      <c r="P15" s="527"/>
      <c r="Q15" s="275">
        <f t="shared" si="0"/>
        <v>469</v>
      </c>
      <c r="R15" s="300">
        <f t="shared" ref="R15:R16" si="1">AVERAGE(E15,I15,M15)</f>
        <v>156.33333333333334</v>
      </c>
      <c r="S15" s="530"/>
      <c r="T15" s="527"/>
      <c r="U15" s="190">
        <f>IFERROR(R15-VLOOKUP(D15,'미니게임_DATA(순)'!$A:$FB,MATCH("rct 20g avg",'미니게임_DATA(순)'!$A$3:$FB$3,0),0),0)</f>
        <v>5.4333333333333371</v>
      </c>
      <c r="W15" s="185">
        <f t="shared" ref="W15:W16" si="2">MAX(E15,I15,M15)</f>
        <v>188</v>
      </c>
      <c r="X15" s="267">
        <f t="shared" ref="X15:X16" si="3">R15</f>
        <v>156.33333333333334</v>
      </c>
      <c r="Y15" s="267" t="str">
        <f>VLOOKUP(Z15,'미니게임_DATA(순)'!$A$4:$C$45,3,0)</f>
        <v>남</v>
      </c>
      <c r="Z15" s="187" t="str">
        <f>D15</f>
        <v>김신철</v>
      </c>
    </row>
    <row r="16" spans="2:28">
      <c r="C16" s="538"/>
      <c r="D16" s="188" t="s">
        <v>42</v>
      </c>
      <c r="E16" s="275">
        <f>IFERROR(VLOOKUP(D16,'미니게임_DATA(순)'!$A$4:$EV$50,121,0),0)</f>
        <v>123</v>
      </c>
      <c r="F16" s="275"/>
      <c r="G16" s="527"/>
      <c r="H16" s="527"/>
      <c r="I16" s="275">
        <f>IFERROR(VLOOKUP(D16,'미니게임_DATA(순)'!$A$4:$EV$50,122,0),0)</f>
        <v>112</v>
      </c>
      <c r="J16" s="275"/>
      <c r="K16" s="527"/>
      <c r="L16" s="527"/>
      <c r="M16" s="275">
        <f>IFERROR(VLOOKUP(D16,'미니게임_DATA(순)'!$A$4:$EV$50,123,0),0)</f>
        <v>104</v>
      </c>
      <c r="N16" s="275"/>
      <c r="O16" s="527"/>
      <c r="P16" s="527"/>
      <c r="Q16" s="275">
        <f t="shared" si="0"/>
        <v>339</v>
      </c>
      <c r="R16" s="276">
        <f t="shared" si="1"/>
        <v>113</v>
      </c>
      <c r="S16" s="530"/>
      <c r="T16" s="527"/>
      <c r="U16" s="190">
        <f>IFERROR(R16-VLOOKUP(D16,'미니게임_DATA(순)'!$A:$FB,MATCH("rct 20g avg",'미니게임_DATA(순)'!$A$3:$FB$3,0),0),0)</f>
        <v>-20.199999999999989</v>
      </c>
      <c r="W16" s="185">
        <f t="shared" si="2"/>
        <v>123</v>
      </c>
      <c r="X16" s="267">
        <f t="shared" si="3"/>
        <v>113</v>
      </c>
      <c r="Y16" s="267" t="str">
        <f>VLOOKUP(Z16,'미니게임_DATA(순)'!$A$4:$C$45,3,0)</f>
        <v>남</v>
      </c>
      <c r="Z16" s="187" t="str">
        <f>D16</f>
        <v>권진현</v>
      </c>
    </row>
    <row r="17" spans="3:27">
      <c r="C17" s="538"/>
      <c r="D17" s="191"/>
      <c r="E17" s="279"/>
      <c r="F17" s="279"/>
      <c r="G17" s="527"/>
      <c r="H17" s="527"/>
      <c r="I17" s="279"/>
      <c r="J17" s="279"/>
      <c r="K17" s="527"/>
      <c r="L17" s="527"/>
      <c r="M17" s="279"/>
      <c r="N17" s="279"/>
      <c r="O17" s="527"/>
      <c r="P17" s="527"/>
      <c r="Q17" s="279">
        <f t="shared" si="0"/>
        <v>0</v>
      </c>
      <c r="R17" s="276">
        <f t="shared" ref="R17" si="4">Q17/3</f>
        <v>0</v>
      </c>
      <c r="S17" s="530"/>
      <c r="T17" s="527"/>
      <c r="U17" s="190">
        <f>IFERROR(R17-VLOOKUP(D17,'미니게임_DATA(순)'!$A:$FB,MATCH("rct 20g avg",'미니게임_DATA(순)'!$A$3:$FB$3,0),0),0)</f>
        <v>0</v>
      </c>
      <c r="W17" s="185"/>
      <c r="Z17" s="187"/>
    </row>
    <row r="18" spans="3:27" ht="16.5">
      <c r="C18" s="539"/>
      <c r="D18" s="399"/>
      <c r="E18" s="535">
        <f>SUMIF(E14:F17, "&gt;0")</f>
        <v>436</v>
      </c>
      <c r="F18" s="498"/>
      <c r="G18" s="528"/>
      <c r="H18" s="528"/>
      <c r="I18" s="535">
        <f>SUMIF(I14:I17, "&gt;0")</f>
        <v>472</v>
      </c>
      <c r="J18" s="498"/>
      <c r="K18" s="528"/>
      <c r="L18" s="528"/>
      <c r="M18" s="535">
        <f>SUMIF(M14:M17, "&gt;0")</f>
        <v>478</v>
      </c>
      <c r="N18" s="498"/>
      <c r="O18" s="528"/>
      <c r="P18" s="528"/>
      <c r="Q18" s="272">
        <f t="shared" si="0"/>
        <v>1386</v>
      </c>
      <c r="R18" s="196"/>
      <c r="S18" s="531"/>
      <c r="T18" s="528"/>
      <c r="U18" s="277">
        <f>IFERROR(R18-VLOOKUP(D18,'미니게임_DATA(순)'!$A:$FB,MATCH("rct 20g avg",'미니게임_DATA(순)'!$A$3:$FB$3,0),0),0)</f>
        <v>0</v>
      </c>
      <c r="V18" s="185"/>
      <c r="W18" s="185"/>
      <c r="Z18" s="187">
        <f>D18</f>
        <v>0</v>
      </c>
      <c r="AA18" s="187">
        <f>SUM(E18,I18)</f>
        <v>908</v>
      </c>
    </row>
    <row r="19" spans="3:27">
      <c r="C19" s="537" t="s">
        <v>146</v>
      </c>
      <c r="D19" s="180" t="s">
        <v>37</v>
      </c>
      <c r="E19" s="275">
        <f>IFERROR(VLOOKUP(D19,'미니게임_DATA(순)'!$A$4:$EV$50,121,0),0)</f>
        <v>157</v>
      </c>
      <c r="F19" s="273"/>
      <c r="G19" s="526">
        <f>RANK(E23,($E$18,$E$23,$E$28,$E$33,E$38,$E$43))</f>
        <v>3</v>
      </c>
      <c r="H19" s="526">
        <f t="shared" ref="H19" si="5">G19</f>
        <v>3</v>
      </c>
      <c r="I19" s="275">
        <f>IFERROR(VLOOKUP(D19,'미니게임_DATA(순)'!$A$4:$EV$50,122,0),0)</f>
        <v>167</v>
      </c>
      <c r="J19" s="273"/>
      <c r="K19" s="526">
        <f>RANK(I23,($I$18,$I$23,$I$28,$I$33,I$38,$I$43))</f>
        <v>3</v>
      </c>
      <c r="L19" s="526">
        <f>RANK(AA23,($AA$18,$AA$23,$AA$28,$AA$33,$AA$38,$AA$43))</f>
        <v>3</v>
      </c>
      <c r="M19" s="275">
        <f>IFERROR(VLOOKUP(D19,'미니게임_DATA(순)'!$A$4:$EV$50,123,0),0)</f>
        <v>138</v>
      </c>
      <c r="N19" s="273"/>
      <c r="O19" s="526">
        <f>RANK(M23,($M$18,$M$23,$M$28,$M$33,$M$38,$M$43))</f>
        <v>3</v>
      </c>
      <c r="P19" s="526">
        <f t="shared" ref="P19" si="6">S19</f>
        <v>2</v>
      </c>
      <c r="Q19" s="273">
        <f t="shared" si="0"/>
        <v>462</v>
      </c>
      <c r="R19" s="274">
        <f>AVERAGE(E19,I19,M19)</f>
        <v>154</v>
      </c>
      <c r="S19" s="529">
        <f>RANK(Q23,($Q$18,$Q$23,$Q$28,$Q$33,$Q$38,$Q$43))</f>
        <v>2</v>
      </c>
      <c r="T19" s="532">
        <f>MAX($Q$18,$Q$23,Q$28,Q$33,Q$38)-Q23</f>
        <v>68</v>
      </c>
      <c r="U19" s="184">
        <f>IFERROR(R19-VLOOKUP(D19,'미니게임_DATA(순)'!$A:$FB,MATCH("rct 20g avg",'미니게임_DATA(순)'!$A$3:$FB$3,0),0),0)</f>
        <v>-13.099999999999994</v>
      </c>
      <c r="W19" s="185">
        <f>MAX(E19,I19,M19)</f>
        <v>167</v>
      </c>
      <c r="X19" s="267">
        <f>R19</f>
        <v>154</v>
      </c>
      <c r="Y19" s="267" t="str">
        <f>VLOOKUP(Z19,'미니게임_DATA(순)'!$A$4:$C$45,3,0)</f>
        <v>남</v>
      </c>
      <c r="Z19" s="187" t="str">
        <f>D19</f>
        <v>최은규</v>
      </c>
    </row>
    <row r="20" spans="3:27">
      <c r="C20" s="538"/>
      <c r="D20" s="188" t="s">
        <v>282</v>
      </c>
      <c r="E20" s="275">
        <f>IFERROR(VLOOKUP(D20,'미니게임_DATA(순)'!$A$4:$EV$50,121,0),0)</f>
        <v>154</v>
      </c>
      <c r="F20" s="275"/>
      <c r="G20" s="527"/>
      <c r="H20" s="527"/>
      <c r="I20" s="275">
        <f>IFERROR(VLOOKUP(D20,'미니게임_DATA(순)'!$A$4:$EV$50,122,0),0)</f>
        <v>169</v>
      </c>
      <c r="J20" s="275"/>
      <c r="K20" s="527"/>
      <c r="L20" s="527"/>
      <c r="M20" s="275">
        <f>IFERROR(VLOOKUP(D20,'미니게임_DATA(순)'!$A$4:$EV$50,123,0),0)</f>
        <v>176</v>
      </c>
      <c r="N20" s="275"/>
      <c r="O20" s="527"/>
      <c r="P20" s="527"/>
      <c r="Q20" s="275">
        <f t="shared" si="0"/>
        <v>499</v>
      </c>
      <c r="R20" s="300">
        <f t="shared" ref="R20:R21" si="7">AVERAGE(E20,I20,M20)</f>
        <v>166.33333333333334</v>
      </c>
      <c r="S20" s="530"/>
      <c r="T20" s="533"/>
      <c r="U20" s="190">
        <f>IFERROR(R20-VLOOKUP(D20,'미니게임_DATA(순)'!$A:$FB,MATCH("rct 20g avg",'미니게임_DATA(순)'!$A$3:$FB$3,0),0),0)</f>
        <v>2.5833333333333428</v>
      </c>
      <c r="W20" s="185">
        <f t="shared" ref="W20:W21" si="8">MAX(E20,I20,M20)</f>
        <v>176</v>
      </c>
      <c r="X20" s="267">
        <f>R20</f>
        <v>166.33333333333334</v>
      </c>
      <c r="Y20" s="267" t="str">
        <f>VLOOKUP(Z20,'미니게임_DATA(순)'!$A$4:$C$45,3,0)</f>
        <v>여</v>
      </c>
      <c r="Z20" s="187" t="str">
        <f>D20</f>
        <v>손하은</v>
      </c>
    </row>
    <row r="21" spans="3:27">
      <c r="C21" s="538"/>
      <c r="D21" s="188" t="s">
        <v>339</v>
      </c>
      <c r="E21" s="275">
        <f>IFERROR(VLOOKUP(D21,'미니게임_DATA(순)'!$A$4:$EV$50,121,0),0)</f>
        <v>114</v>
      </c>
      <c r="F21" s="275"/>
      <c r="G21" s="527"/>
      <c r="H21" s="527"/>
      <c r="I21" s="275">
        <f>IFERROR(VLOOKUP(D21,'미니게임_DATA(순)'!$A$4:$EV$50,122,0),0)</f>
        <v>110</v>
      </c>
      <c r="J21" s="275"/>
      <c r="K21" s="527"/>
      <c r="L21" s="527"/>
      <c r="M21" s="275">
        <f>IFERROR(VLOOKUP(D21,'미니게임_DATA(순)'!$A$4:$EV$50,123,0),0)</f>
        <v>133</v>
      </c>
      <c r="N21" s="275"/>
      <c r="O21" s="527"/>
      <c r="P21" s="527"/>
      <c r="Q21" s="275">
        <f t="shared" si="0"/>
        <v>357</v>
      </c>
      <c r="R21" s="276">
        <f t="shared" si="7"/>
        <v>119</v>
      </c>
      <c r="S21" s="530"/>
      <c r="T21" s="533"/>
      <c r="U21" s="190">
        <f>IFERROR(R21-VLOOKUP(D21,'미니게임_DATA(순)'!$A:$FB,MATCH("rct 20g avg",'미니게임_DATA(순)'!$A$3:$FB$3,0),0),0)</f>
        <v>0.44444444444444287</v>
      </c>
      <c r="W21" s="185">
        <f t="shared" si="8"/>
        <v>133</v>
      </c>
      <c r="X21" s="267">
        <f>R21</f>
        <v>119</v>
      </c>
      <c r="Y21" s="267" t="str">
        <f>VLOOKUP(Z21,'미니게임_DATA(순)'!$A$4:$C$45,3,0)</f>
        <v>남</v>
      </c>
      <c r="Z21" s="187" t="str">
        <f>D21</f>
        <v>심재국</v>
      </c>
    </row>
    <row r="22" spans="3:27">
      <c r="C22" s="538"/>
      <c r="D22" s="188"/>
      <c r="E22" s="279"/>
      <c r="F22" s="279"/>
      <c r="G22" s="527"/>
      <c r="H22" s="527"/>
      <c r="I22" s="279"/>
      <c r="J22" s="279"/>
      <c r="K22" s="527"/>
      <c r="L22" s="527"/>
      <c r="M22" s="279"/>
      <c r="N22" s="279"/>
      <c r="O22" s="527"/>
      <c r="P22" s="527"/>
      <c r="Q22" s="279">
        <f t="shared" si="0"/>
        <v>0</v>
      </c>
      <c r="R22" s="276">
        <f t="shared" ref="R22" si="9">Q22/3</f>
        <v>0</v>
      </c>
      <c r="S22" s="530"/>
      <c r="T22" s="533"/>
      <c r="U22" s="190">
        <f>IFERROR(R22-VLOOKUP(D22,'미니게임_DATA(순)'!$A:$FB,MATCH("rct 20g avg",'미니게임_DATA(순)'!$A$3:$FB$3,0),0),0)</f>
        <v>0</v>
      </c>
      <c r="W22" s="185"/>
      <c r="Z22" s="187"/>
    </row>
    <row r="23" spans="3:27" ht="16.5">
      <c r="C23" s="539"/>
      <c r="D23" s="399"/>
      <c r="E23" s="535">
        <f>SUMIF(E19:F22, "&gt;0")</f>
        <v>425</v>
      </c>
      <c r="F23" s="498"/>
      <c r="G23" s="528"/>
      <c r="H23" s="528"/>
      <c r="I23" s="535">
        <f>SUMIF(I19:J22, "&gt;0")</f>
        <v>446</v>
      </c>
      <c r="J23" s="498"/>
      <c r="K23" s="528"/>
      <c r="L23" s="528"/>
      <c r="M23" s="535">
        <f>SUMIF(M19:N22, "&gt;0")</f>
        <v>447</v>
      </c>
      <c r="N23" s="498"/>
      <c r="O23" s="528"/>
      <c r="P23" s="528"/>
      <c r="Q23" s="272">
        <f t="shared" si="0"/>
        <v>1318</v>
      </c>
      <c r="R23" s="196"/>
      <c r="S23" s="531"/>
      <c r="T23" s="534"/>
      <c r="U23" s="277">
        <f>IFERROR(R23-VLOOKUP(D23,'미니게임_DATA(순)'!$A:$FB,MATCH("rct 20g avg",'미니게임_DATA(순)'!$A$3:$FB$3,0),0),0)</f>
        <v>0</v>
      </c>
      <c r="V23" s="185"/>
      <c r="W23" s="185"/>
      <c r="Z23" s="187">
        <f t="shared" ref="Z23:Z32" si="10">D23</f>
        <v>0</v>
      </c>
      <c r="AA23" s="187">
        <f>SUM(E23,I23)</f>
        <v>871</v>
      </c>
    </row>
    <row r="24" spans="3:27">
      <c r="C24" s="537" t="s">
        <v>147</v>
      </c>
      <c r="D24" s="180" t="s">
        <v>14</v>
      </c>
      <c r="E24" s="275">
        <f>IFERROR(VLOOKUP(D24,'미니게임_DATA(순)'!$A$4:$EV$50,121,0),0)</f>
        <v>103</v>
      </c>
      <c r="F24" s="273"/>
      <c r="G24" s="526">
        <f>RANK(E28,($E$18,$E$23,$E$28,$E$33,E$38,$E$43))</f>
        <v>4</v>
      </c>
      <c r="H24" s="526">
        <f t="shared" ref="H24" si="11">G24</f>
        <v>4</v>
      </c>
      <c r="I24" s="275">
        <f>IFERROR(VLOOKUP(D24,'미니게임_DATA(순)'!$A$4:$EV$50,122,0),0)</f>
        <v>177</v>
      </c>
      <c r="J24" s="273"/>
      <c r="K24" s="526">
        <f>RANK(I28,($I$18,$I$23,$I$28,$I$33,I$38,$I$43))</f>
        <v>1</v>
      </c>
      <c r="L24" s="526">
        <f>RANK(AA28,($AA$18,$AA$23,$AA$28,$AA$33,$AA$38,$AA$43))</f>
        <v>2</v>
      </c>
      <c r="M24" s="275">
        <f>IFERROR(VLOOKUP(D24,'미니게임_DATA(순)'!$A$4:$EV$50,123,0),0)</f>
        <v>135</v>
      </c>
      <c r="N24" s="273"/>
      <c r="O24" s="526">
        <f>RANK(M28,($M$18,$M$23,$M$28,$M$33,$M$38,$M$43))</f>
        <v>6</v>
      </c>
      <c r="P24" s="526">
        <f t="shared" ref="P24" si="12">S24</f>
        <v>4</v>
      </c>
      <c r="Q24" s="273">
        <f t="shared" si="0"/>
        <v>415</v>
      </c>
      <c r="R24" s="274">
        <f>AVERAGE(E24,I24,M24)</f>
        <v>138.33333333333334</v>
      </c>
      <c r="S24" s="529">
        <f>RANK(Q28,($Q$18,$Q$23,$Q$28,$Q$33,$Q$38,$Q$43))</f>
        <v>4</v>
      </c>
      <c r="T24" s="532">
        <f>MAX($Q$18,$Q$23,Q$28,Q$33,Q$38)-Q28</f>
        <v>151</v>
      </c>
      <c r="U24" s="184">
        <f>IFERROR(R24-VLOOKUP(D24,'미니게임_DATA(순)'!$A:$FB,MATCH("rct 20g avg",'미니게임_DATA(순)'!$A$3:$FB$3,0),0),0)</f>
        <v>-26.216666666666669</v>
      </c>
      <c r="W24" s="185">
        <f t="shared" ref="W24:W27" si="13">MAX(E24,I24,M24)</f>
        <v>177</v>
      </c>
      <c r="X24" s="267">
        <f>R24</f>
        <v>138.33333333333334</v>
      </c>
      <c r="Y24" s="267" t="str">
        <f>VLOOKUP(Z24,'미니게임_DATA(순)'!$A$4:$C$45,3,0)</f>
        <v>남</v>
      </c>
      <c r="Z24" s="187" t="str">
        <f t="shared" si="10"/>
        <v>채승엽</v>
      </c>
    </row>
    <row r="25" spans="3:27">
      <c r="C25" s="538"/>
      <c r="D25" s="188" t="s">
        <v>12</v>
      </c>
      <c r="E25" s="275">
        <f>IFERROR(VLOOKUP(D25,'미니게임_DATA(순)'!$A$4:$EV$50,121,0),0)</f>
        <v>187</v>
      </c>
      <c r="F25" s="275"/>
      <c r="G25" s="527"/>
      <c r="H25" s="527"/>
      <c r="I25" s="275">
        <f>IFERROR(VLOOKUP(D25,'미니게임_DATA(순)'!$A$4:$EV$50,122,0),0)</f>
        <v>179</v>
      </c>
      <c r="J25" s="275"/>
      <c r="K25" s="527"/>
      <c r="L25" s="527"/>
      <c r="M25" s="275">
        <f>IFERROR(VLOOKUP(D25,'미니게임_DATA(순)'!$A$4:$EV$50,123,0),0)</f>
        <v>130</v>
      </c>
      <c r="N25" s="275"/>
      <c r="O25" s="527"/>
      <c r="P25" s="527"/>
      <c r="Q25" s="275">
        <f t="shared" si="0"/>
        <v>496</v>
      </c>
      <c r="R25" s="300">
        <f t="shared" ref="R25:R26" si="14">AVERAGE(E25,I25,M25)</f>
        <v>165.33333333333334</v>
      </c>
      <c r="S25" s="530"/>
      <c r="T25" s="533"/>
      <c r="U25" s="190">
        <f>IFERROR(R25-VLOOKUP(D25,'미니게임_DATA(순)'!$A:$FB,MATCH("rct 20g avg",'미니게임_DATA(순)'!$A$3:$FB$3,0),0),0)</f>
        <v>15.733333333333348</v>
      </c>
      <c r="W25" s="185">
        <f t="shared" si="13"/>
        <v>187</v>
      </c>
      <c r="X25" s="267">
        <f>R25</f>
        <v>165.33333333333334</v>
      </c>
      <c r="Y25" s="267" t="str">
        <f>VLOOKUP(Z25,'미니게임_DATA(순)'!$A$4:$C$45,3,0)</f>
        <v>여</v>
      </c>
      <c r="Z25" s="187" t="str">
        <f t="shared" si="10"/>
        <v>성소라</v>
      </c>
    </row>
    <row r="26" spans="3:27">
      <c r="C26" s="538"/>
      <c r="D26" s="188" t="s">
        <v>369</v>
      </c>
      <c r="E26" s="275">
        <f>IFERROR(VLOOKUP(D26,'미니게임_DATA(순)'!$A$4:$EV$50,121,0),0)</f>
        <v>51</v>
      </c>
      <c r="F26" s="275">
        <v>45</v>
      </c>
      <c r="G26" s="527"/>
      <c r="H26" s="527"/>
      <c r="I26" s="275">
        <f>IFERROR(VLOOKUP(D26,'미니게임_DATA(순)'!$A$4:$EV$50,122,0),0)</f>
        <v>88</v>
      </c>
      <c r="J26" s="275">
        <v>45</v>
      </c>
      <c r="K26" s="527"/>
      <c r="L26" s="527"/>
      <c r="M26" s="275">
        <f>IFERROR(VLOOKUP(D26,'미니게임_DATA(순)'!$A$4:$EV$50,123,0),0)</f>
        <v>50</v>
      </c>
      <c r="N26" s="275">
        <v>45</v>
      </c>
      <c r="O26" s="527"/>
      <c r="P26" s="527"/>
      <c r="Q26" s="275">
        <f t="shared" si="0"/>
        <v>189</v>
      </c>
      <c r="R26" s="276">
        <f t="shared" si="14"/>
        <v>63</v>
      </c>
      <c r="S26" s="530"/>
      <c r="T26" s="533"/>
      <c r="U26" s="190">
        <f>IFERROR(R26-VLOOKUP(D26,'미니게임_DATA(순)'!$A:$FB,MATCH("rct 20g avg",'미니게임_DATA(순)'!$A$3:$FB$3,0),0),0)</f>
        <v>0</v>
      </c>
      <c r="W26" s="185">
        <f t="shared" si="13"/>
        <v>88</v>
      </c>
      <c r="X26" s="267">
        <f>R26</f>
        <v>63</v>
      </c>
      <c r="Y26" s="267" t="str">
        <f>VLOOKUP(Z26,'미니게임_DATA(순)'!$A$4:$C$45,3,0)</f>
        <v>여</v>
      </c>
      <c r="Z26" s="187" t="str">
        <f t="shared" si="10"/>
        <v>박시연</v>
      </c>
    </row>
    <row r="27" spans="3:27">
      <c r="C27" s="538"/>
      <c r="D27" s="191"/>
      <c r="E27" s="302">
        <f>IFERROR(VLOOKUP(D27,'미니게임_DATA(순)'!$A$4:$EV$45,111,0),0)</f>
        <v>0</v>
      </c>
      <c r="F27" s="279"/>
      <c r="G27" s="527"/>
      <c r="H27" s="527"/>
      <c r="I27" s="302">
        <f>IFERROR(VLOOKUP(D27,'미니게임_DATA(순)'!$A$4:$EV$45,112,0),0)</f>
        <v>0</v>
      </c>
      <c r="J27" s="279"/>
      <c r="K27" s="527"/>
      <c r="L27" s="527"/>
      <c r="M27" s="302">
        <f>IFERROR(VLOOKUP(D27,'미니게임_DATA(순)'!$A$4:$EV$45,113,0),0)</f>
        <v>0</v>
      </c>
      <c r="N27" s="279"/>
      <c r="O27" s="527"/>
      <c r="P27" s="527"/>
      <c r="Q27" s="279">
        <f t="shared" si="0"/>
        <v>0</v>
      </c>
      <c r="R27" s="276">
        <f t="shared" ref="R27" si="15">Q27/3</f>
        <v>0</v>
      </c>
      <c r="S27" s="530"/>
      <c r="T27" s="533"/>
      <c r="U27" s="190">
        <f>IFERROR(R27-VLOOKUP(D27,'미니게임_DATA(순)'!$A:$FB,MATCH("rct 20g avg",'미니게임_DATA(순)'!$A$3:$FB$3,0),0),0)</f>
        <v>0</v>
      </c>
      <c r="W27" s="185">
        <f t="shared" si="13"/>
        <v>0</v>
      </c>
      <c r="X27" s="267">
        <f>R27</f>
        <v>0</v>
      </c>
      <c r="Y27" s="388" t="s">
        <v>239</v>
      </c>
      <c r="Z27" s="187">
        <f t="shared" si="10"/>
        <v>0</v>
      </c>
    </row>
    <row r="28" spans="3:27" ht="16.5">
      <c r="C28" s="539"/>
      <c r="D28" s="399"/>
      <c r="E28" s="535">
        <f>SUMIF(E24:F26, "&gt;0")</f>
        <v>386</v>
      </c>
      <c r="F28" s="498"/>
      <c r="G28" s="528"/>
      <c r="H28" s="528"/>
      <c r="I28" s="535">
        <f>SUMIF(I24:J26, "&gt;0")</f>
        <v>489</v>
      </c>
      <c r="J28" s="498"/>
      <c r="K28" s="528"/>
      <c r="L28" s="528"/>
      <c r="M28" s="535">
        <f>SUMIF(M24:N26, "&gt;0")</f>
        <v>360</v>
      </c>
      <c r="N28" s="498"/>
      <c r="O28" s="528"/>
      <c r="P28" s="528"/>
      <c r="Q28" s="272">
        <f t="shared" si="0"/>
        <v>1235</v>
      </c>
      <c r="R28" s="196"/>
      <c r="S28" s="531"/>
      <c r="T28" s="534"/>
      <c r="U28" s="277">
        <f>IFERROR(R28-VLOOKUP(D28,'미니게임_DATA(순)'!$A:$FB,MATCH("rct 20g avg",'미니게임_DATA(순)'!$A$3:$FB$3,0),0),0)</f>
        <v>0</v>
      </c>
      <c r="V28" s="185"/>
      <c r="W28" s="185"/>
      <c r="Z28" s="187">
        <f t="shared" si="10"/>
        <v>0</v>
      </c>
      <c r="AA28" s="187">
        <f>SUM(E28,I28)</f>
        <v>875</v>
      </c>
    </row>
    <row r="29" spans="3:27">
      <c r="C29" s="537" t="s">
        <v>148</v>
      </c>
      <c r="D29" s="180" t="s">
        <v>13</v>
      </c>
      <c r="E29" s="275">
        <f>IFERROR(VLOOKUP(D29,'미니게임_DATA(순)'!$A$4:$EV$50,121,0),0)</f>
        <v>200</v>
      </c>
      <c r="F29" s="273"/>
      <c r="G29" s="526">
        <f>RANK(E33,($E$18,$E$23,$E$28,$E$33,E$38,$E$43))</f>
        <v>6</v>
      </c>
      <c r="H29" s="526">
        <f t="shared" ref="H29" si="16">G29</f>
        <v>6</v>
      </c>
      <c r="I29" s="275">
        <f>IFERROR(VLOOKUP(D29,'미니게임_DATA(순)'!$A$4:$EV$50,122,0),0)</f>
        <v>138</v>
      </c>
      <c r="J29" s="273"/>
      <c r="K29" s="526">
        <f>RANK(I33,($I$18,$I$23,$I$28,$I$33,I$38,$I$43))</f>
        <v>5</v>
      </c>
      <c r="L29" s="526">
        <f>RANK(AA33,($AA$18,$AA$23,$AA$28,$AA$33,$AA$38,$AA$43))</f>
        <v>5</v>
      </c>
      <c r="M29" s="275">
        <f>IFERROR(VLOOKUP(D29,'미니게임_DATA(순)'!$A$4:$EV$50,123,0),0)</f>
        <v>158</v>
      </c>
      <c r="N29" s="273"/>
      <c r="O29" s="526">
        <f>RANK(M33,($M$18,$M$23,$M$28,$M$33,$M$38,$M$43))</f>
        <v>5</v>
      </c>
      <c r="P29" s="526">
        <f t="shared" ref="P29" si="17">S29</f>
        <v>6</v>
      </c>
      <c r="Q29" s="273">
        <f t="shared" si="0"/>
        <v>496</v>
      </c>
      <c r="R29" s="274">
        <f>AVERAGE(E29,I29,M29)</f>
        <v>165.33333333333334</v>
      </c>
      <c r="S29" s="529">
        <f>RANK(Q33,($Q$18,$Q$23,$Q$28,$Q$33,$Q$38,$Q$43))</f>
        <v>6</v>
      </c>
      <c r="T29" s="532">
        <f>MAX($Q$18,$Q$23,Q$28,Q$33,Q$38)-Q33</f>
        <v>226</v>
      </c>
      <c r="U29" s="184">
        <f>IFERROR(R29-VLOOKUP(D29,'미니게임_DATA(순)'!$A:$FB,MATCH("rct 20g avg",'미니게임_DATA(순)'!$A$3:$FB$3,0),0),0)</f>
        <v>8.2333333333333485</v>
      </c>
      <c r="W29" s="185">
        <f t="shared" ref="W29:W31" si="18">MAX(E29,I29,M29)</f>
        <v>200</v>
      </c>
      <c r="X29" s="267">
        <f>R29</f>
        <v>165.33333333333334</v>
      </c>
      <c r="Y29" s="267" t="str">
        <f>IFERROR(VLOOKUP(Z29,'미니게임_DATA(순)'!$A$4:$C$45,3,0),"-")</f>
        <v>남</v>
      </c>
      <c r="Z29" s="187" t="str">
        <f t="shared" si="10"/>
        <v>정동현</v>
      </c>
    </row>
    <row r="30" spans="3:27">
      <c r="C30" s="538"/>
      <c r="D30" s="188" t="s">
        <v>281</v>
      </c>
      <c r="E30" s="275">
        <f>IFERROR(VLOOKUP(D30,'미니게임_DATA(순)'!$A$4:$EV$50,121,0),0)</f>
        <v>97</v>
      </c>
      <c r="F30" s="275"/>
      <c r="G30" s="527"/>
      <c r="H30" s="527"/>
      <c r="I30" s="275">
        <f>IFERROR(VLOOKUP(D30,'미니게임_DATA(순)'!$A$4:$EV$50,122,0),0)</f>
        <v>139</v>
      </c>
      <c r="J30" s="275"/>
      <c r="K30" s="527"/>
      <c r="L30" s="527"/>
      <c r="M30" s="275">
        <f>IFERROR(VLOOKUP(D30,'미니게임_DATA(순)'!$A$4:$EV$50,123,0),0)</f>
        <v>131</v>
      </c>
      <c r="N30" s="275"/>
      <c r="O30" s="527"/>
      <c r="P30" s="527"/>
      <c r="Q30" s="275">
        <f t="shared" si="0"/>
        <v>367</v>
      </c>
      <c r="R30" s="300">
        <f t="shared" ref="R30" si="19">AVERAGE(E30,I30,M30)</f>
        <v>122.33333333333333</v>
      </c>
      <c r="S30" s="530"/>
      <c r="T30" s="533"/>
      <c r="U30" s="190">
        <f>IFERROR(R30-VLOOKUP(D30,'미니게임_DATA(순)'!$A:$FB,MATCH("rct 20g avg",'미니게임_DATA(순)'!$A$3:$FB$3,0),0),0)</f>
        <v>-38.316666666666677</v>
      </c>
      <c r="W30" s="185">
        <f t="shared" si="18"/>
        <v>139</v>
      </c>
      <c r="X30" s="267">
        <f>R30</f>
        <v>122.33333333333333</v>
      </c>
      <c r="Y30" s="267" t="str">
        <f>IFERROR(VLOOKUP(Z30,'미니게임_DATA(순)'!$A$4:$C$45,3,0),"-")</f>
        <v>여</v>
      </c>
      <c r="Z30" s="187" t="str">
        <f t="shared" si="10"/>
        <v>오수인</v>
      </c>
    </row>
    <row r="31" spans="3:27">
      <c r="C31" s="538"/>
      <c r="D31" s="188" t="s">
        <v>371</v>
      </c>
      <c r="E31" s="275">
        <f>IFERROR(VLOOKUP(D31,'미니게임_DATA(순)'!$A$4:$EV$50,121,0),0)</f>
        <v>83</v>
      </c>
      <c r="F31" s="275"/>
      <c r="G31" s="527"/>
      <c r="H31" s="527"/>
      <c r="I31" s="275">
        <f>IFERROR(VLOOKUP(D31,'미니게임_DATA(순)'!$A$4:$EV$50,122,0),0)</f>
        <v>102</v>
      </c>
      <c r="J31" s="275"/>
      <c r="K31" s="527"/>
      <c r="L31" s="527"/>
      <c r="M31" s="275">
        <f>IFERROR(VLOOKUP(D31,'미니게임_DATA(순)'!$A$4:$EV$50,123,0),0)</f>
        <v>112</v>
      </c>
      <c r="N31" s="275"/>
      <c r="O31" s="527"/>
      <c r="P31" s="527"/>
      <c r="Q31" s="275">
        <f t="shared" si="0"/>
        <v>297</v>
      </c>
      <c r="R31" s="276">
        <f t="shared" ref="R31:R32" si="20">Q31/3</f>
        <v>99</v>
      </c>
      <c r="S31" s="530"/>
      <c r="T31" s="533"/>
      <c r="U31" s="190">
        <f>IFERROR(R31-VLOOKUP(D31,'미니게임_DATA(순)'!$A:$FB,MATCH("rct 20g avg",'미니게임_DATA(순)'!$A$3:$FB$3,0),0),0)</f>
        <v>-23.75</v>
      </c>
      <c r="W31" s="185">
        <f t="shared" si="18"/>
        <v>112</v>
      </c>
      <c r="X31" s="267">
        <f>R31</f>
        <v>99</v>
      </c>
      <c r="Y31" s="267" t="str">
        <f>IFERROR(VLOOKUP(Z31,'미니게임_DATA(순)'!$A$4:$C$45,3,0),"-")</f>
        <v>남</v>
      </c>
      <c r="Z31" s="187" t="str">
        <f t="shared" si="10"/>
        <v>이종현</v>
      </c>
    </row>
    <row r="32" spans="3:27">
      <c r="C32" s="538"/>
      <c r="D32" s="188"/>
      <c r="E32" s="387">
        <f>IFERROR(VLOOKUP(D32,'미니게임_DATA(순)'!$A$4:$EV$45,115,0),0)</f>
        <v>0</v>
      </c>
      <c r="F32" s="279"/>
      <c r="G32" s="527"/>
      <c r="H32" s="527"/>
      <c r="I32" s="387">
        <f>IFERROR(VLOOKUP(D32,'미니게임_DATA(순)'!$A$4:$EV$45,116,0),0)</f>
        <v>0</v>
      </c>
      <c r="J32" s="279"/>
      <c r="K32" s="527"/>
      <c r="L32" s="527"/>
      <c r="M32" s="387">
        <f>IFERROR(VLOOKUP(D32,'미니게임_DATA(순)'!$A$4:$EV$45,117,0),0)</f>
        <v>0</v>
      </c>
      <c r="N32" s="279"/>
      <c r="O32" s="527"/>
      <c r="P32" s="527"/>
      <c r="Q32" s="279">
        <f t="shared" si="0"/>
        <v>0</v>
      </c>
      <c r="R32" s="276">
        <f t="shared" si="20"/>
        <v>0</v>
      </c>
      <c r="S32" s="530"/>
      <c r="T32" s="533"/>
      <c r="U32" s="190">
        <f>IFERROR(R32-VLOOKUP(D32,'미니게임_DATA(순)'!$A:$FB,MATCH("rct 20g avg",'미니게임_DATA(순)'!$A$3:$FB$3,0),0),0)</f>
        <v>0</v>
      </c>
      <c r="W32" s="185"/>
      <c r="Y32" s="267" t="str">
        <f>IFERROR(VLOOKUP(Z32,'미니게임_DATA(순)'!$A$4:$C$45,3,0),"-")</f>
        <v>-</v>
      </c>
      <c r="Z32" s="187">
        <f t="shared" si="10"/>
        <v>0</v>
      </c>
    </row>
    <row r="33" spans="2:28" ht="16.5">
      <c r="C33" s="539"/>
      <c r="D33" s="399"/>
      <c r="E33" s="535">
        <f>SUMIF(E29:F31, "&gt;0")</f>
        <v>380</v>
      </c>
      <c r="F33" s="498"/>
      <c r="G33" s="528"/>
      <c r="H33" s="528"/>
      <c r="I33" s="535">
        <f>SUMIF(I29:J31, "&gt;0")</f>
        <v>379</v>
      </c>
      <c r="J33" s="498"/>
      <c r="K33" s="528"/>
      <c r="L33" s="528"/>
      <c r="M33" s="535">
        <f>SUMIF(M29:N31, "&gt;0")</f>
        <v>401</v>
      </c>
      <c r="N33" s="536"/>
      <c r="O33" s="528"/>
      <c r="P33" s="528"/>
      <c r="Q33" s="272">
        <f t="shared" si="0"/>
        <v>1160</v>
      </c>
      <c r="R33" s="196"/>
      <c r="S33" s="531"/>
      <c r="T33" s="534"/>
      <c r="U33" s="277">
        <f>IFERROR(R33-VLOOKUP(D33,'미니게임_DATA(순)'!$A:$FB,MATCH("rct 20g avg",'미니게임_DATA(순)'!$A$3:$FB$3,0),0),0)</f>
        <v>0</v>
      </c>
      <c r="V33" s="185"/>
      <c r="W33" s="185"/>
      <c r="Y33" s="267" t="str">
        <f>IFERROR(VLOOKUP(Z33,'미니게임_DATA(순)'!$A$4:$C$45,3,0),"-")</f>
        <v>-</v>
      </c>
      <c r="Z33" s="187">
        <f>D33</f>
        <v>0</v>
      </c>
      <c r="AA33" s="187">
        <f>SUM(E33,I33)</f>
        <v>759</v>
      </c>
    </row>
    <row r="34" spans="2:28">
      <c r="C34" s="537" t="s">
        <v>149</v>
      </c>
      <c r="D34" s="180" t="s">
        <v>11</v>
      </c>
      <c r="E34" s="275">
        <f>IFERROR(VLOOKUP(D34,'미니게임_DATA(순)'!$A$4:$EV$50,121,0),0)</f>
        <v>174</v>
      </c>
      <c r="F34" s="273"/>
      <c r="G34" s="526">
        <f>RANK(E38,($E$18,$E$23,$E$28,$E$33,E$38,$E$43))</f>
        <v>1</v>
      </c>
      <c r="H34" s="526">
        <f t="shared" ref="H34" si="21">G34</f>
        <v>1</v>
      </c>
      <c r="I34" s="275">
        <f>IFERROR(VLOOKUP(D34,'미니게임_DATA(순)'!$A$4:$EV$50,122,0),0)</f>
        <v>145</v>
      </c>
      <c r="J34" s="273"/>
      <c r="K34" s="526">
        <f>RANK(I38,($I$18,$I$23,$I$28,$I$33,I$38,$I$43))</f>
        <v>4</v>
      </c>
      <c r="L34" s="526">
        <f>RANK(AA38,($AA$18,$AA$23,$AA$28,$AA$33,$AA$38,$AA$43))</f>
        <v>4</v>
      </c>
      <c r="M34" s="275">
        <f>IFERROR(VLOOKUP(D34,'미니게임_DATA(순)'!$A$4:$EV$50,123,0),0)</f>
        <v>160</v>
      </c>
      <c r="N34" s="273"/>
      <c r="O34" s="526">
        <f>RANK(M38,($M$18,$M$23,$M$28,$M$33,$M$38,$M$43))</f>
        <v>4</v>
      </c>
      <c r="P34" s="526">
        <f t="shared" ref="P34" si="22">S34</f>
        <v>3</v>
      </c>
      <c r="Q34" s="273">
        <f t="shared" ref="Q34:Q43" si="23">E34+I34+M34</f>
        <v>479</v>
      </c>
      <c r="R34" s="274">
        <f>AVERAGE(E34,I34,M34)</f>
        <v>159.66666666666666</v>
      </c>
      <c r="S34" s="529">
        <f>RANK(Q38,($Q$18,$Q$23,$Q$28,$Q$33,$Q$38,$Q$43))</f>
        <v>3</v>
      </c>
      <c r="T34" s="532">
        <f>MAX($Q$18,$Q$23,Q$28,Q$33,Q$38)-Q38</f>
        <v>119</v>
      </c>
      <c r="U34" s="184">
        <f>IFERROR(R34-VLOOKUP(D34,'미니게임_DATA(순)'!$A:$FB,MATCH("rct 20g avg",'미니게임_DATA(순)'!$A$3:$FB$3,0),0),0)</f>
        <v>1.5166666666666515</v>
      </c>
      <c r="W34" s="185">
        <f t="shared" ref="W34:W35" si="24">MAX(E34,I34,M34)</f>
        <v>174</v>
      </c>
      <c r="X34" s="267">
        <f>R34</f>
        <v>159.66666666666666</v>
      </c>
      <c r="Y34" s="267" t="str">
        <f>IFERROR(VLOOKUP(Z34,'미니게임_DATA(순)'!$A$4:$C$45,3,0),"-")</f>
        <v>남</v>
      </c>
      <c r="Z34" s="187" t="str">
        <f t="shared" ref="Z34:Z37" si="25">D34</f>
        <v>박용승</v>
      </c>
    </row>
    <row r="35" spans="2:28" s="172" customFormat="1">
      <c r="B35" s="169"/>
      <c r="C35" s="538"/>
      <c r="D35" s="188" t="s">
        <v>17</v>
      </c>
      <c r="E35" s="275">
        <f>IFERROR(VLOOKUP(D35,'미니게임_DATA(순)'!$A$4:$EV$50,121,0),0)</f>
        <v>160</v>
      </c>
      <c r="F35" s="275"/>
      <c r="G35" s="527"/>
      <c r="H35" s="527"/>
      <c r="I35" s="275">
        <f>IFERROR(VLOOKUP(D35,'미니게임_DATA(순)'!$A$4:$EV$50,122,0),0)</f>
        <v>155</v>
      </c>
      <c r="J35" s="275"/>
      <c r="K35" s="527"/>
      <c r="L35" s="527"/>
      <c r="M35" s="275">
        <f>IFERROR(VLOOKUP(D35,'미니게임_DATA(순)'!$A$4:$EV$50,123,0),0)</f>
        <v>143</v>
      </c>
      <c r="N35" s="275"/>
      <c r="O35" s="527"/>
      <c r="P35" s="527"/>
      <c r="Q35" s="275">
        <f t="shared" si="23"/>
        <v>458</v>
      </c>
      <c r="R35" s="300">
        <f t="shared" ref="R35" si="26">AVERAGE(E35,I35,M35)</f>
        <v>152.66666666666666</v>
      </c>
      <c r="S35" s="530"/>
      <c r="T35" s="533"/>
      <c r="U35" s="190">
        <f>IFERROR(R35-VLOOKUP(D35,'미니게임_DATA(순)'!$A:$FB,MATCH("rct 20g avg",'미니게임_DATA(순)'!$A$3:$FB$3,0),0),0)</f>
        <v>3.3166666666666629</v>
      </c>
      <c r="W35" s="185">
        <f t="shared" si="24"/>
        <v>160</v>
      </c>
      <c r="X35" s="267">
        <f>R35</f>
        <v>152.66666666666666</v>
      </c>
      <c r="Y35" s="267" t="str">
        <f>IFERROR(VLOOKUP(Z35,'미니게임_DATA(순)'!$A$4:$C$45,3,0),"-")</f>
        <v>남</v>
      </c>
      <c r="Z35" s="187" t="str">
        <f t="shared" si="25"/>
        <v>한희용</v>
      </c>
      <c r="AA35" s="169"/>
      <c r="AB35" s="169"/>
    </row>
    <row r="36" spans="2:28" s="172" customFormat="1">
      <c r="B36" s="169"/>
      <c r="C36" s="538"/>
      <c r="D36" s="342" t="s">
        <v>221</v>
      </c>
      <c r="E36" s="275">
        <v>110</v>
      </c>
      <c r="F36" s="275"/>
      <c r="G36" s="527"/>
      <c r="H36" s="527"/>
      <c r="I36" s="275">
        <v>110</v>
      </c>
      <c r="J36" s="275"/>
      <c r="K36" s="527"/>
      <c r="L36" s="527"/>
      <c r="M36" s="275">
        <v>110</v>
      </c>
      <c r="N36" s="275"/>
      <c r="O36" s="527"/>
      <c r="P36" s="527"/>
      <c r="Q36" s="275">
        <f t="shared" si="23"/>
        <v>330</v>
      </c>
      <c r="R36" s="276">
        <f t="shared" ref="R36:R37" si="27">Q36/3</f>
        <v>110</v>
      </c>
      <c r="S36" s="530"/>
      <c r="T36" s="533"/>
      <c r="U36" s="190">
        <f>IFERROR(R36-VLOOKUP(D36,'미니게임_DATA(순)'!$A:$FB,MATCH("rct 20g avg",'미니게임_DATA(순)'!$A$3:$FB$3,0),0),0)</f>
        <v>0</v>
      </c>
      <c r="W36" s="185"/>
      <c r="X36" s="267">
        <f>R36</f>
        <v>110</v>
      </c>
      <c r="Y36" s="267" t="str">
        <f>IFERROR(VLOOKUP(Z36,'미니게임_DATA(순)'!$A$4:$C$45,3,0),"-")</f>
        <v>-</v>
      </c>
      <c r="Z36" s="187" t="str">
        <f t="shared" si="25"/>
        <v>동수</v>
      </c>
      <c r="AA36" s="169"/>
      <c r="AB36" s="169"/>
    </row>
    <row r="37" spans="2:28">
      <c r="C37" s="538"/>
      <c r="D37" s="188"/>
      <c r="E37" s="279"/>
      <c r="F37" s="279"/>
      <c r="G37" s="527"/>
      <c r="H37" s="527"/>
      <c r="I37" s="279"/>
      <c r="J37" s="279"/>
      <c r="K37" s="527"/>
      <c r="L37" s="527"/>
      <c r="M37" s="279"/>
      <c r="N37" s="279"/>
      <c r="O37" s="527"/>
      <c r="P37" s="527"/>
      <c r="Q37" s="279">
        <f t="shared" si="23"/>
        <v>0</v>
      </c>
      <c r="R37" s="276">
        <f t="shared" si="27"/>
        <v>0</v>
      </c>
      <c r="S37" s="530"/>
      <c r="T37" s="533"/>
      <c r="U37" s="190">
        <f>IFERROR(R37-VLOOKUP(D37,'미니게임_DATA(순)'!$A:$FB,MATCH("rct 20g avg",'미니게임_DATA(순)'!$A$3:$FB$3,0),0),0)</f>
        <v>0</v>
      </c>
      <c r="W37" s="185"/>
      <c r="Y37" s="267" t="str">
        <f>IFERROR(VLOOKUP(Z37,'미니게임_DATA(순)'!$A$4:$C$45,3,0),"-")</f>
        <v>-</v>
      </c>
      <c r="Z37" s="187">
        <f t="shared" si="25"/>
        <v>0</v>
      </c>
    </row>
    <row r="38" spans="2:28" ht="16.5">
      <c r="C38" s="539"/>
      <c r="D38" s="399"/>
      <c r="E38" s="535">
        <f>SUMIF(E34:F36, "&gt;0")</f>
        <v>444</v>
      </c>
      <c r="F38" s="498"/>
      <c r="G38" s="528"/>
      <c r="H38" s="528"/>
      <c r="I38" s="535">
        <f>SUMIF(I34:J36, "&gt;0")</f>
        <v>410</v>
      </c>
      <c r="J38" s="498"/>
      <c r="K38" s="528"/>
      <c r="L38" s="528"/>
      <c r="M38" s="535">
        <f>SUMIF(M34:N36, "&gt;0")</f>
        <v>413</v>
      </c>
      <c r="N38" s="536"/>
      <c r="O38" s="528"/>
      <c r="P38" s="528"/>
      <c r="Q38" s="272">
        <f t="shared" si="23"/>
        <v>1267</v>
      </c>
      <c r="R38" s="196"/>
      <c r="S38" s="531"/>
      <c r="T38" s="534"/>
      <c r="U38" s="277">
        <f>IFERROR(R38-VLOOKUP(D38,'미니게임_DATA(순)'!$A:$FB,MATCH("rct 20g avg",'미니게임_DATA(순)'!$A$3:$FB$3,0),0),0)</f>
        <v>0</v>
      </c>
      <c r="V38" s="185"/>
      <c r="W38" s="185"/>
      <c r="Y38" s="267" t="str">
        <f>IFERROR(VLOOKUP(Z38,'미니게임_DATA(순)'!$A$4:$C$45,3,0),"-")</f>
        <v>-</v>
      </c>
      <c r="Z38" s="187">
        <f>D38</f>
        <v>0</v>
      </c>
      <c r="AA38" s="187">
        <f>SUM(E38,I38)</f>
        <v>854</v>
      </c>
    </row>
    <row r="39" spans="2:28">
      <c r="C39" s="537" t="s">
        <v>373</v>
      </c>
      <c r="D39" s="180" t="s">
        <v>24</v>
      </c>
      <c r="E39" s="275">
        <f>IFERROR(VLOOKUP(D39,'미니게임_DATA(순)'!$A$4:$EV$50,121,0),0)</f>
        <v>139</v>
      </c>
      <c r="F39" s="273"/>
      <c r="G39" s="526">
        <f>RANK(E43,($E$18,$E$23,$E$28,$E$33,E$38,$E$43))</f>
        <v>5</v>
      </c>
      <c r="H39" s="526">
        <f t="shared" ref="H39" si="28">G39</f>
        <v>5</v>
      </c>
      <c r="I39" s="275">
        <f>IFERROR(VLOOKUP(D39,'미니게임_DATA(순)'!$A$4:$EV$50,122,0),0)</f>
        <v>146</v>
      </c>
      <c r="J39" s="273"/>
      <c r="K39" s="526">
        <f>RANK(I43,($I$18,$I$23,$I$28,$I$33,I$38,$I$43))</f>
        <v>6</v>
      </c>
      <c r="L39" s="526">
        <f>RANK(AA43,($AA$18,$AA$23,$AA$28,$AA$33,$AA$38,$AA$43))</f>
        <v>6</v>
      </c>
      <c r="M39" s="275">
        <f>IFERROR(VLOOKUP(D39,'미니게임_DATA(순)'!$A$4:$EV$50,123,0),0)</f>
        <v>186</v>
      </c>
      <c r="N39" s="273"/>
      <c r="O39" s="526">
        <f>RANK(M43,($M$18,$M$23,$M$28,$M$33,$M$38,$M$43))</f>
        <v>2</v>
      </c>
      <c r="P39" s="526">
        <f t="shared" ref="P39" si="29">S39</f>
        <v>5</v>
      </c>
      <c r="Q39" s="273">
        <f t="shared" si="23"/>
        <v>471</v>
      </c>
      <c r="R39" s="274">
        <f>AVERAGE(E39,I39,M39)</f>
        <v>157</v>
      </c>
      <c r="S39" s="529">
        <f>RANK(Q43,($Q$18,$Q$23,$Q$28,$Q$33,$Q$38,$Q$43))</f>
        <v>5</v>
      </c>
      <c r="T39" s="532">
        <f>MAX($Q$18,$Q$23,Q$28,Q$33,Q$38)-Q43</f>
        <v>173</v>
      </c>
      <c r="U39" s="184">
        <f>IFERROR(R39-VLOOKUP(D39,'미니게임_DATA(순)'!$A:$FB,MATCH("rct 20g avg",'미니게임_DATA(순)'!$A$3:$FB$3,0),0),0)</f>
        <v>-2</v>
      </c>
      <c r="W39" s="185">
        <f t="shared" ref="W39:W41" si="30">MAX(E39,I39,M39)</f>
        <v>186</v>
      </c>
      <c r="X39" s="267">
        <f>R39</f>
        <v>157</v>
      </c>
      <c r="Y39" s="267" t="str">
        <f>IFERROR(VLOOKUP(Z39,'미니게임_DATA(순)'!$A$4:$C$45,3,0),"-")</f>
        <v>남</v>
      </c>
      <c r="Z39" s="187" t="str">
        <f t="shared" ref="Z39:Z42" si="31">D39</f>
        <v>김기선</v>
      </c>
    </row>
    <row r="40" spans="2:28">
      <c r="C40" s="538"/>
      <c r="D40" s="188" t="s">
        <v>22</v>
      </c>
      <c r="E40" s="275">
        <f>IFERROR(VLOOKUP(D40,'미니게임_DATA(순)'!$A$4:$EV$50,121,0),0)</f>
        <v>150</v>
      </c>
      <c r="F40" s="275"/>
      <c r="G40" s="527"/>
      <c r="H40" s="527"/>
      <c r="I40" s="275">
        <f>IFERROR(VLOOKUP(D40,'미니게임_DATA(순)'!$A$4:$EV$50,122,0),0)</f>
        <v>146</v>
      </c>
      <c r="J40" s="275"/>
      <c r="K40" s="527"/>
      <c r="L40" s="527"/>
      <c r="M40" s="275">
        <f>IFERROR(VLOOKUP(D40,'미니게임_DATA(순)'!$A$4:$EV$50,123,0),0)</f>
        <v>176</v>
      </c>
      <c r="N40" s="275"/>
      <c r="O40" s="527"/>
      <c r="P40" s="527"/>
      <c r="Q40" s="275">
        <f t="shared" si="23"/>
        <v>472</v>
      </c>
      <c r="R40" s="300">
        <f t="shared" ref="R40" si="32">AVERAGE(E40,I40,M40)</f>
        <v>157.33333333333334</v>
      </c>
      <c r="S40" s="530"/>
      <c r="T40" s="533"/>
      <c r="U40" s="190">
        <f>IFERROR(R40-VLOOKUP(D40,'미니게임_DATA(순)'!$A:$FB,MATCH("rct 20g avg",'미니게임_DATA(순)'!$A$3:$FB$3,0),0),0)</f>
        <v>14.033333333333331</v>
      </c>
      <c r="W40" s="185">
        <f t="shared" si="30"/>
        <v>176</v>
      </c>
      <c r="X40" s="267">
        <f>R40</f>
        <v>157.33333333333334</v>
      </c>
      <c r="Y40" s="267" t="str">
        <f>IFERROR(VLOOKUP(Z40,'미니게임_DATA(순)'!$A$4:$C$45,3,0),"-")</f>
        <v>남</v>
      </c>
      <c r="Z40" s="187" t="str">
        <f t="shared" si="31"/>
        <v>이강은</v>
      </c>
    </row>
    <row r="41" spans="2:28">
      <c r="C41" s="538"/>
      <c r="D41" s="188" t="s">
        <v>372</v>
      </c>
      <c r="E41" s="275">
        <f>IFERROR(VLOOKUP(D41,'미니게임_DATA(순)'!$A$4:$EV$50,121,0),0)</f>
        <v>93</v>
      </c>
      <c r="F41" s="275"/>
      <c r="G41" s="527"/>
      <c r="H41" s="527"/>
      <c r="I41" s="275">
        <f>IFERROR(VLOOKUP(D41,'미니게임_DATA(순)'!$A$4:$EV$50,122,0),0)</f>
        <v>84</v>
      </c>
      <c r="J41" s="275"/>
      <c r="K41" s="527"/>
      <c r="L41" s="527"/>
      <c r="M41" s="275">
        <f>IFERROR(VLOOKUP(D41,'미니게임_DATA(순)'!$A$4:$EV$50,123,0),0)</f>
        <v>93</v>
      </c>
      <c r="N41" s="275"/>
      <c r="O41" s="527"/>
      <c r="P41" s="527"/>
      <c r="Q41" s="275">
        <f t="shared" si="23"/>
        <v>270</v>
      </c>
      <c r="R41" s="276">
        <f t="shared" ref="R41:R42" si="33">Q41/3</f>
        <v>90</v>
      </c>
      <c r="S41" s="530"/>
      <c r="T41" s="533"/>
      <c r="U41" s="190">
        <f>IFERROR(R41-VLOOKUP(D41,'미니게임_DATA(순)'!$A:$FB,MATCH("rct 20g avg",'미니게임_DATA(순)'!$A$3:$FB$3,0),0),0)</f>
        <v>-6.75</v>
      </c>
      <c r="W41" s="185">
        <f t="shared" si="30"/>
        <v>93</v>
      </c>
      <c r="X41" s="267">
        <f>R41</f>
        <v>90</v>
      </c>
      <c r="Y41" s="267" t="str">
        <f>IFERROR(VLOOKUP(Z41,'미니게임_DATA(순)'!$A$4:$C$45,3,0),"-")</f>
        <v>남</v>
      </c>
      <c r="Z41" s="187" t="str">
        <f t="shared" si="31"/>
        <v>이경준</v>
      </c>
    </row>
    <row r="42" spans="2:28">
      <c r="C42" s="538"/>
      <c r="D42" s="188"/>
      <c r="E42" s="279"/>
      <c r="F42" s="279"/>
      <c r="G42" s="527"/>
      <c r="H42" s="527"/>
      <c r="I42" s="279"/>
      <c r="J42" s="279"/>
      <c r="K42" s="527"/>
      <c r="L42" s="527"/>
      <c r="M42" s="279"/>
      <c r="N42" s="279"/>
      <c r="O42" s="527"/>
      <c r="P42" s="527"/>
      <c r="Q42" s="279">
        <f t="shared" si="23"/>
        <v>0</v>
      </c>
      <c r="R42" s="276">
        <f t="shared" si="33"/>
        <v>0</v>
      </c>
      <c r="S42" s="530"/>
      <c r="T42" s="533"/>
      <c r="U42" s="190">
        <f>IFERROR(R42-VLOOKUP(D42,'미니게임_DATA(순)'!$A:$FB,MATCH("rct 20g avg",'미니게임_DATA(순)'!$A$3:$FB$3,0),0),0)</f>
        <v>0</v>
      </c>
      <c r="W42" s="185"/>
      <c r="Y42" s="267" t="str">
        <f>IFERROR(VLOOKUP(Z42,'미니게임_DATA(순)'!$A$4:$C$45,3,0),"-")</f>
        <v>-</v>
      </c>
      <c r="Z42" s="187">
        <f t="shared" si="31"/>
        <v>0</v>
      </c>
    </row>
    <row r="43" spans="2:28" ht="16.5">
      <c r="C43" s="539"/>
      <c r="D43" s="399"/>
      <c r="E43" s="535">
        <f>SUMIF(E39:F41, "&gt;0")</f>
        <v>382</v>
      </c>
      <c r="F43" s="498"/>
      <c r="G43" s="528"/>
      <c r="H43" s="528"/>
      <c r="I43" s="535">
        <f>SUMIF(I39:J41, "&gt;0")</f>
        <v>376</v>
      </c>
      <c r="J43" s="498"/>
      <c r="K43" s="528"/>
      <c r="L43" s="528"/>
      <c r="M43" s="535">
        <f>SUMIF(M39:N41, "&gt;0")</f>
        <v>455</v>
      </c>
      <c r="N43" s="536"/>
      <c r="O43" s="528"/>
      <c r="P43" s="528"/>
      <c r="Q43" s="272">
        <f t="shared" si="23"/>
        <v>1213</v>
      </c>
      <c r="R43" s="196"/>
      <c r="S43" s="531"/>
      <c r="T43" s="534"/>
      <c r="U43" s="277">
        <f>IFERROR(R43-VLOOKUP(D43,'미니게임_DATA(순)'!$A:$FB,MATCH("rct 20g avg",'미니게임_DATA(순)'!$A$3:$FB$3,0),0),0)</f>
        <v>0</v>
      </c>
      <c r="W43" s="185"/>
      <c r="Y43" s="267" t="str">
        <f>IFERROR(VLOOKUP(Z43,'미니게임_DATA(순)'!$A$4:$C$45,3,0),"-")</f>
        <v>-</v>
      </c>
      <c r="Z43" s="187">
        <f>D43</f>
        <v>0</v>
      </c>
      <c r="AA43" s="187">
        <f>SUM(E43,I43)</f>
        <v>758</v>
      </c>
    </row>
  </sheetData>
  <mergeCells count="89">
    <mergeCell ref="B2:B3"/>
    <mergeCell ref="B4:B5"/>
    <mergeCell ref="B6:B9"/>
    <mergeCell ref="D6:E6"/>
    <mergeCell ref="D7:E7"/>
    <mergeCell ref="D8:E8"/>
    <mergeCell ref="D9:E9"/>
    <mergeCell ref="U11:U13"/>
    <mergeCell ref="E12:H12"/>
    <mergeCell ref="I12:L12"/>
    <mergeCell ref="M12:P12"/>
    <mergeCell ref="C14:C18"/>
    <mergeCell ref="G14:G18"/>
    <mergeCell ref="H14:H18"/>
    <mergeCell ref="K14:K18"/>
    <mergeCell ref="L14:L18"/>
    <mergeCell ref="O14:O18"/>
    <mergeCell ref="C11:C13"/>
    <mergeCell ref="D11:D13"/>
    <mergeCell ref="E11:P11"/>
    <mergeCell ref="Q11:Q13"/>
    <mergeCell ref="R11:R13"/>
    <mergeCell ref="S11:T12"/>
    <mergeCell ref="P14:P18"/>
    <mergeCell ref="S14:S18"/>
    <mergeCell ref="T14:T18"/>
    <mergeCell ref="E18:F18"/>
    <mergeCell ref="I18:J18"/>
    <mergeCell ref="M18:N18"/>
    <mergeCell ref="C19:C23"/>
    <mergeCell ref="G19:G23"/>
    <mergeCell ref="H19:H23"/>
    <mergeCell ref="K19:K23"/>
    <mergeCell ref="L19:L23"/>
    <mergeCell ref="P19:P23"/>
    <mergeCell ref="S19:S23"/>
    <mergeCell ref="T19:T23"/>
    <mergeCell ref="E23:F23"/>
    <mergeCell ref="I23:J23"/>
    <mergeCell ref="M23:N23"/>
    <mergeCell ref="O19:O23"/>
    <mergeCell ref="C24:C28"/>
    <mergeCell ref="G24:G28"/>
    <mergeCell ref="H24:H28"/>
    <mergeCell ref="K24:K28"/>
    <mergeCell ref="L24:L28"/>
    <mergeCell ref="P24:P28"/>
    <mergeCell ref="S24:S28"/>
    <mergeCell ref="T24:T28"/>
    <mergeCell ref="E28:F28"/>
    <mergeCell ref="I28:J28"/>
    <mergeCell ref="M28:N28"/>
    <mergeCell ref="O24:O28"/>
    <mergeCell ref="C29:C33"/>
    <mergeCell ref="G29:G33"/>
    <mergeCell ref="H29:H33"/>
    <mergeCell ref="K29:K33"/>
    <mergeCell ref="L29:L33"/>
    <mergeCell ref="P29:P33"/>
    <mergeCell ref="S29:S33"/>
    <mergeCell ref="T29:T33"/>
    <mergeCell ref="E33:F33"/>
    <mergeCell ref="I33:J33"/>
    <mergeCell ref="M33:N33"/>
    <mergeCell ref="O29:O33"/>
    <mergeCell ref="C34:C38"/>
    <mergeCell ref="G34:G38"/>
    <mergeCell ref="H34:H38"/>
    <mergeCell ref="K34:K38"/>
    <mergeCell ref="L34:L38"/>
    <mergeCell ref="P34:P38"/>
    <mergeCell ref="S34:S38"/>
    <mergeCell ref="T34:T38"/>
    <mergeCell ref="E38:F38"/>
    <mergeCell ref="I38:J38"/>
    <mergeCell ref="M38:N38"/>
    <mergeCell ref="O34:O38"/>
    <mergeCell ref="C39:C43"/>
    <mergeCell ref="G39:G43"/>
    <mergeCell ref="H39:H43"/>
    <mergeCell ref="K39:K43"/>
    <mergeCell ref="L39:L43"/>
    <mergeCell ref="P39:P43"/>
    <mergeCell ref="S39:S43"/>
    <mergeCell ref="T39:T43"/>
    <mergeCell ref="E43:F43"/>
    <mergeCell ref="I43:J43"/>
    <mergeCell ref="M43:N43"/>
    <mergeCell ref="O39:O43"/>
  </mergeCells>
  <phoneticPr fontId="2" type="noConversion"/>
  <conditionalFormatting sqref="G44:H1048576 O44:P1048576 K44:L1048576 O12:P13 G1:H13 K1:L13 O1:P10">
    <cfRule type="cellIs" dxfId="239" priority="76" operator="equal">
      <formula>1</formula>
    </cfRule>
  </conditionalFormatting>
  <conditionalFormatting sqref="P14:P33">
    <cfRule type="cellIs" dxfId="238" priority="74" operator="equal">
      <formula>1</formula>
    </cfRule>
  </conditionalFormatting>
  <conditionalFormatting sqref="G14:H14 H15:H33">
    <cfRule type="cellIs" dxfId="237" priority="75" operator="equal">
      <formula>1</formula>
    </cfRule>
  </conditionalFormatting>
  <conditionalFormatting sqref="K14:L14 L15:L18">
    <cfRule type="cellIs" dxfId="236" priority="73" operator="equal">
      <formula>1</formula>
    </cfRule>
  </conditionalFormatting>
  <conditionalFormatting sqref="O14">
    <cfRule type="cellIs" dxfId="235" priority="72" operator="equal">
      <formula>1</formula>
    </cfRule>
  </conditionalFormatting>
  <conditionalFormatting sqref="R5">
    <cfRule type="cellIs" dxfId="234" priority="67" operator="greaterThan">
      <formula>200</formula>
    </cfRule>
  </conditionalFormatting>
  <conditionalFormatting sqref="E2:E5">
    <cfRule type="cellIs" dxfId="233" priority="66" operator="greaterThan">
      <formula>199.5</formula>
    </cfRule>
  </conditionalFormatting>
  <conditionalFormatting sqref="E14:E17 E19:E22 E24:E27 E29:E31 I19:I22 I24:I27 I29:I32 I14:I17 M14:M17 M19:M22 M24:M27 M29:M32">
    <cfRule type="cellIs" dxfId="232" priority="65" operator="greaterThan">
      <formula>199.5</formula>
    </cfRule>
  </conditionalFormatting>
  <conditionalFormatting sqref="E34">
    <cfRule type="cellIs" dxfId="231" priority="58" operator="greaterThan">
      <formula>199.5</formula>
    </cfRule>
  </conditionalFormatting>
  <conditionalFormatting sqref="E35">
    <cfRule type="cellIs" dxfId="230" priority="57" operator="greaterThan">
      <formula>199.5</formula>
    </cfRule>
  </conditionalFormatting>
  <conditionalFormatting sqref="E39">
    <cfRule type="cellIs" dxfId="229" priority="56" operator="greaterThan">
      <formula>199.5</formula>
    </cfRule>
  </conditionalFormatting>
  <conditionalFormatting sqref="E40">
    <cfRule type="cellIs" dxfId="228" priority="55" operator="greaterThan">
      <formula>199.5</formula>
    </cfRule>
  </conditionalFormatting>
  <conditionalFormatting sqref="E41">
    <cfRule type="cellIs" dxfId="227" priority="54" operator="greaterThan">
      <formula>199.5</formula>
    </cfRule>
  </conditionalFormatting>
  <conditionalFormatting sqref="I34">
    <cfRule type="cellIs" dxfId="226" priority="53" operator="greaterThan">
      <formula>199.5</formula>
    </cfRule>
  </conditionalFormatting>
  <conditionalFormatting sqref="I35">
    <cfRule type="cellIs" dxfId="225" priority="52" operator="greaterThan">
      <formula>199.5</formula>
    </cfRule>
  </conditionalFormatting>
  <conditionalFormatting sqref="I39">
    <cfRule type="cellIs" dxfId="224" priority="51" operator="greaterThan">
      <formula>199.5</formula>
    </cfRule>
  </conditionalFormatting>
  <conditionalFormatting sqref="I40">
    <cfRule type="cellIs" dxfId="223" priority="50" operator="greaterThan">
      <formula>199.5</formula>
    </cfRule>
  </conditionalFormatting>
  <conditionalFormatting sqref="I41">
    <cfRule type="cellIs" dxfId="222" priority="49" operator="greaterThan">
      <formula>199.5</formula>
    </cfRule>
  </conditionalFormatting>
  <conditionalFormatting sqref="M34">
    <cfRule type="cellIs" dxfId="221" priority="48" operator="greaterThan">
      <formula>199.5</formula>
    </cfRule>
  </conditionalFormatting>
  <conditionalFormatting sqref="M35">
    <cfRule type="cellIs" dxfId="220" priority="47" operator="greaterThan">
      <formula>199.5</formula>
    </cfRule>
  </conditionalFormatting>
  <conditionalFormatting sqref="M39">
    <cfRule type="cellIs" dxfId="219" priority="46" operator="greaterThan">
      <formula>199.5</formula>
    </cfRule>
  </conditionalFormatting>
  <conditionalFormatting sqref="M40">
    <cfRule type="cellIs" dxfId="218" priority="45" operator="greaterThan">
      <formula>199.5</formula>
    </cfRule>
  </conditionalFormatting>
  <conditionalFormatting sqref="M41">
    <cfRule type="cellIs" dxfId="217" priority="44" operator="greaterThan">
      <formula>199.5</formula>
    </cfRule>
  </conditionalFormatting>
  <conditionalFormatting sqref="H34:H38">
    <cfRule type="cellIs" dxfId="216" priority="43" operator="equal">
      <formula>1</formula>
    </cfRule>
  </conditionalFormatting>
  <conditionalFormatting sqref="P34:P38">
    <cfRule type="cellIs" dxfId="215" priority="40" operator="equal">
      <formula>1</formula>
    </cfRule>
  </conditionalFormatting>
  <conditionalFormatting sqref="P39:P43">
    <cfRule type="cellIs" dxfId="214" priority="38" operator="equal">
      <formula>1</formula>
    </cfRule>
  </conditionalFormatting>
  <conditionalFormatting sqref="H39:H43">
    <cfRule type="cellIs" dxfId="213" priority="36" operator="equal">
      <formula>1</formula>
    </cfRule>
  </conditionalFormatting>
  <conditionalFormatting sqref="G19">
    <cfRule type="cellIs" dxfId="212" priority="20" operator="equal">
      <formula>1</formula>
    </cfRule>
  </conditionalFormatting>
  <conditionalFormatting sqref="G24">
    <cfRule type="cellIs" dxfId="211" priority="19" operator="equal">
      <formula>1</formula>
    </cfRule>
  </conditionalFormatting>
  <conditionalFormatting sqref="G29">
    <cfRule type="cellIs" dxfId="210" priority="18" operator="equal">
      <formula>1</formula>
    </cfRule>
  </conditionalFormatting>
  <conditionalFormatting sqref="G34">
    <cfRule type="cellIs" dxfId="209" priority="17" operator="equal">
      <formula>1</formula>
    </cfRule>
  </conditionalFormatting>
  <conditionalFormatting sqref="G39">
    <cfRule type="cellIs" dxfId="208" priority="16" operator="equal">
      <formula>1</formula>
    </cfRule>
  </conditionalFormatting>
  <conditionalFormatting sqref="K19">
    <cfRule type="cellIs" dxfId="207" priority="15" operator="equal">
      <formula>1</formula>
    </cfRule>
  </conditionalFormatting>
  <conditionalFormatting sqref="K24">
    <cfRule type="cellIs" dxfId="206" priority="14" operator="equal">
      <formula>1</formula>
    </cfRule>
  </conditionalFormatting>
  <conditionalFormatting sqref="K29">
    <cfRule type="cellIs" dxfId="205" priority="13" operator="equal">
      <formula>1</formula>
    </cfRule>
  </conditionalFormatting>
  <conditionalFormatting sqref="K34">
    <cfRule type="cellIs" dxfId="204" priority="12" operator="equal">
      <formula>1</formula>
    </cfRule>
  </conditionalFormatting>
  <conditionalFormatting sqref="K39">
    <cfRule type="cellIs" dxfId="203" priority="11" operator="equal">
      <formula>1</formula>
    </cfRule>
  </conditionalFormatting>
  <conditionalFormatting sqref="L19:L23">
    <cfRule type="cellIs" dxfId="202" priority="10" operator="equal">
      <formula>1</formula>
    </cfRule>
  </conditionalFormatting>
  <conditionalFormatting sqref="L24:L28">
    <cfRule type="cellIs" dxfId="201" priority="9" operator="equal">
      <formula>1</formula>
    </cfRule>
  </conditionalFormatting>
  <conditionalFormatting sqref="L29:L33">
    <cfRule type="cellIs" dxfId="200" priority="8" operator="equal">
      <formula>1</formula>
    </cfRule>
  </conditionalFormatting>
  <conditionalFormatting sqref="L34:L38">
    <cfRule type="cellIs" dxfId="199" priority="7" operator="equal">
      <formula>1</formula>
    </cfRule>
  </conditionalFormatting>
  <conditionalFormatting sqref="L39:L43">
    <cfRule type="cellIs" dxfId="198" priority="6" operator="equal">
      <formula>1</formula>
    </cfRule>
  </conditionalFormatting>
  <conditionalFormatting sqref="O19">
    <cfRule type="cellIs" dxfId="197" priority="5" operator="equal">
      <formula>1</formula>
    </cfRule>
  </conditionalFormatting>
  <conditionalFormatting sqref="O24">
    <cfRule type="cellIs" dxfId="196" priority="4" operator="equal">
      <formula>1</formula>
    </cfRule>
  </conditionalFormatting>
  <conditionalFormatting sqref="O29">
    <cfRule type="cellIs" dxfId="195" priority="3" operator="equal">
      <formula>1</formula>
    </cfRule>
  </conditionalFormatting>
  <conditionalFormatting sqref="O34">
    <cfRule type="cellIs" dxfId="194" priority="2" operator="equal">
      <formula>1</formula>
    </cfRule>
  </conditionalFormatting>
  <conditionalFormatting sqref="O39">
    <cfRule type="cellIs" dxfId="193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8"/>
  <sheetViews>
    <sheetView showGridLines="0" zoomScale="85" zoomScaleNormal="85" workbookViewId="0">
      <selection activeCell="AE10" sqref="AE10"/>
    </sheetView>
  </sheetViews>
  <sheetFormatPr defaultColWidth="9" defaultRowHeight="13.5"/>
  <cols>
    <col min="1" max="5" width="9" style="169"/>
    <col min="6" max="8" width="5.375" style="169" customWidth="1"/>
    <col min="9" max="9" width="9" style="169"/>
    <col min="10" max="12" width="5.375" style="169" customWidth="1"/>
    <col min="13" max="13" width="9" style="169"/>
    <col min="14" max="16" width="5.375" style="169" customWidth="1"/>
    <col min="17" max="17" width="7.375" style="170" customWidth="1"/>
    <col min="18" max="18" width="7.375" style="171" customWidth="1"/>
    <col min="19" max="20" width="7.375" style="169" customWidth="1"/>
    <col min="21" max="21" width="9" style="169"/>
    <col min="22" max="23" width="9" style="172" hidden="1" customWidth="1"/>
    <col min="24" max="25" width="9" style="267" hidden="1" customWidth="1"/>
    <col min="26" max="27" width="9" style="169" hidden="1" customWidth="1"/>
    <col min="28" max="28" width="9" style="169" customWidth="1"/>
    <col min="29" max="16384" width="9" style="169"/>
  </cols>
  <sheetData>
    <row r="2" spans="2:28">
      <c r="B2" s="550" t="s">
        <v>154</v>
      </c>
      <c r="C2" s="166" t="s">
        <v>156</v>
      </c>
      <c r="D2" s="167" t="str">
        <f>VLOOKUP(E2,W14:Z37,4,0)</f>
        <v>조문수</v>
      </c>
      <c r="E2" s="198">
        <f t="array" ref="E2">MAX(IF(Y14:Y38="남",W14:W38))</f>
        <v>245</v>
      </c>
      <c r="F2" s="268"/>
    </row>
    <row r="3" spans="2:28">
      <c r="B3" s="551"/>
      <c r="C3" s="166" t="s">
        <v>157</v>
      </c>
      <c r="D3" s="167" t="str">
        <f>VLOOKUP(E3,W15:Z38,4,0)</f>
        <v>성소라</v>
      </c>
      <c r="E3" s="198">
        <f t="array" ref="E3">MAX(IF(Y15:Y39="여",W15:W39))</f>
        <v>162</v>
      </c>
      <c r="F3" s="268"/>
    </row>
    <row r="4" spans="2:28">
      <c r="B4" s="550" t="s">
        <v>158</v>
      </c>
      <c r="C4" s="166" t="s">
        <v>156</v>
      </c>
      <c r="D4" s="167" t="str">
        <f>VLOOKUP(E4,X14:Z38,3,0)</f>
        <v>조문수</v>
      </c>
      <c r="E4" s="168">
        <f t="array" ref="E4">MAX(IF(Y14:Y38="남",X14:X38))</f>
        <v>205.33333333333334</v>
      </c>
      <c r="F4" s="268"/>
    </row>
    <row r="5" spans="2:28">
      <c r="B5" s="551"/>
      <c r="C5" s="166" t="s">
        <v>157</v>
      </c>
      <c r="D5" s="167" t="str">
        <f>VLOOKUP(E5,X15:Z39,3,0)</f>
        <v>성소라</v>
      </c>
      <c r="E5" s="168">
        <f t="array" ref="E5">MAX(IF(Y14:Y38="여",X14:X38))</f>
        <v>156</v>
      </c>
      <c r="F5" s="268"/>
    </row>
    <row r="6" spans="2:28" ht="16.5">
      <c r="B6" s="550" t="s">
        <v>224</v>
      </c>
      <c r="C6" s="235" t="s">
        <v>154</v>
      </c>
      <c r="D6" s="554" t="s">
        <v>8</v>
      </c>
      <c r="E6" s="472"/>
      <c r="F6" s="269"/>
    </row>
    <row r="7" spans="2:28" ht="16.5">
      <c r="B7" s="552"/>
      <c r="C7" s="235" t="s">
        <v>226</v>
      </c>
      <c r="D7" s="554" t="s">
        <v>8</v>
      </c>
      <c r="E7" s="472"/>
      <c r="F7" s="269"/>
    </row>
    <row r="8" spans="2:28" ht="16.5">
      <c r="B8" s="552"/>
      <c r="C8" s="235" t="s">
        <v>88</v>
      </c>
      <c r="D8" s="554" t="s">
        <v>8</v>
      </c>
      <c r="E8" s="498"/>
      <c r="F8" s="270"/>
    </row>
    <row r="9" spans="2:28" ht="16.5">
      <c r="B9" s="553"/>
      <c r="C9" s="235" t="s">
        <v>227</v>
      </c>
      <c r="D9" s="554"/>
      <c r="E9" s="472"/>
      <c r="F9" s="269"/>
      <c r="G9" s="386"/>
    </row>
    <row r="11" spans="2:28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545"/>
      <c r="M11" s="545"/>
      <c r="N11" s="546"/>
      <c r="O11" s="546"/>
      <c r="P11" s="496"/>
      <c r="Q11" s="547" t="s">
        <v>142</v>
      </c>
      <c r="R11" s="548" t="s">
        <v>184</v>
      </c>
      <c r="S11" s="542" t="s">
        <v>169</v>
      </c>
      <c r="T11" s="542"/>
      <c r="U11" s="542" t="s">
        <v>335</v>
      </c>
    </row>
    <row r="12" spans="2:28">
      <c r="C12" s="543"/>
      <c r="D12" s="543"/>
      <c r="E12" s="543">
        <v>1</v>
      </c>
      <c r="F12" s="543"/>
      <c r="G12" s="543"/>
      <c r="H12" s="543"/>
      <c r="I12" s="543">
        <v>2</v>
      </c>
      <c r="J12" s="543"/>
      <c r="K12" s="543"/>
      <c r="L12" s="543"/>
      <c r="M12" s="543">
        <v>3</v>
      </c>
      <c r="N12" s="543"/>
      <c r="O12" s="543"/>
      <c r="P12" s="543"/>
      <c r="Q12" s="547"/>
      <c r="R12" s="549"/>
      <c r="S12" s="542"/>
      <c r="T12" s="542"/>
      <c r="U12" s="542"/>
      <c r="AB12" s="172"/>
    </row>
    <row r="13" spans="2:28" ht="27">
      <c r="C13" s="543"/>
      <c r="D13" s="543"/>
      <c r="E13" s="391" t="s">
        <v>150</v>
      </c>
      <c r="F13" s="390" t="s">
        <v>302</v>
      </c>
      <c r="G13" s="390" t="s">
        <v>152</v>
      </c>
      <c r="H13" s="390" t="s">
        <v>153</v>
      </c>
      <c r="I13" s="391" t="s">
        <v>150</v>
      </c>
      <c r="J13" s="390" t="s">
        <v>302</v>
      </c>
      <c r="K13" s="390" t="s">
        <v>152</v>
      </c>
      <c r="L13" s="390" t="s">
        <v>153</v>
      </c>
      <c r="M13" s="391" t="s">
        <v>150</v>
      </c>
      <c r="N13" s="390" t="s">
        <v>302</v>
      </c>
      <c r="O13" s="390" t="s">
        <v>152</v>
      </c>
      <c r="P13" s="390" t="s">
        <v>153</v>
      </c>
      <c r="Q13" s="547"/>
      <c r="R13" s="549"/>
      <c r="S13" s="390" t="s">
        <v>144</v>
      </c>
      <c r="T13" s="391" t="s">
        <v>168</v>
      </c>
      <c r="U13" s="543"/>
      <c r="W13" s="172" t="s">
        <v>170</v>
      </c>
      <c r="X13" s="267" t="s">
        <v>171</v>
      </c>
    </row>
    <row r="14" spans="2:28" ht="15.75">
      <c r="C14" s="537" t="s">
        <v>145</v>
      </c>
      <c r="D14" s="180" t="s">
        <v>8</v>
      </c>
      <c r="E14" s="395">
        <f>IFERROR(VLOOKUP(D14,'미니게임_DATA(순)'!$A$4:$EV$45,118,0),0)</f>
        <v>215</v>
      </c>
      <c r="F14" s="273"/>
      <c r="G14" s="526">
        <f>RANK(E18,($E$18,$E$23,$E$28,$E$33,E$38))</f>
        <v>1</v>
      </c>
      <c r="H14" s="526">
        <f>G14</f>
        <v>1</v>
      </c>
      <c r="I14" s="273">
        <f>IFERROR(VLOOKUP(D14,'미니게임_DATA(순)'!$A$4:$EV$45,119,0),0)</f>
        <v>245</v>
      </c>
      <c r="J14" s="273"/>
      <c r="K14" s="526">
        <f>RANK(I18,($I$18,$I$23,$I$28,$I$33,I$38))</f>
        <v>1</v>
      </c>
      <c r="L14" s="526">
        <f>RANK(AA18,($AA$18,$AA$23,$AA$28,$AA$33,$AA$38))</f>
        <v>1</v>
      </c>
      <c r="M14" s="273">
        <f>IFERROR(VLOOKUP(D14,'미니게임_DATA(순)'!$A$4:$EV$45,120,0),0)</f>
        <v>156</v>
      </c>
      <c r="N14" s="273"/>
      <c r="O14" s="526">
        <f>RANK(M18,($M$18,$M$23,$M$28,$M$33,$M$38))</f>
        <v>2</v>
      </c>
      <c r="P14" s="526">
        <f>S14</f>
        <v>1</v>
      </c>
      <c r="Q14" s="273">
        <f t="shared" ref="Q14:Q33" si="0">E14+I14+M14</f>
        <v>616</v>
      </c>
      <c r="R14" s="274">
        <f>AVERAGE(E14,I14,M14)</f>
        <v>205.33333333333334</v>
      </c>
      <c r="S14" s="529">
        <f>RANK(Q18,($Q$18,$Q$23,$Q$28,$Q$33,$Q$38))</f>
        <v>1</v>
      </c>
      <c r="T14" s="541">
        <f>MAX($Q$18,$Q$23,Q$28,Q$33,Q$38)-Q18</f>
        <v>0</v>
      </c>
      <c r="U14" s="184">
        <f>IFERROR(R14-VLOOKUP(D14,'미니게임_DATA(순)'!$A:$FB,MATCH("rct 20g avg",'미니게임_DATA(순)'!$A$3:$FB$3,0),0),0)</f>
        <v>14.783333333333331</v>
      </c>
      <c r="W14" s="185">
        <f>MAX(E14,I14,M14)</f>
        <v>245</v>
      </c>
      <c r="X14" s="267">
        <f>R14</f>
        <v>205.33333333333334</v>
      </c>
      <c r="Y14" s="267" t="str">
        <f>VLOOKUP(Z14,'미니게임_DATA(순)'!$A$4:$C$45,3,0)</f>
        <v>남</v>
      </c>
      <c r="Z14" s="187" t="str">
        <f>D14</f>
        <v>조문수</v>
      </c>
    </row>
    <row r="15" spans="2:28">
      <c r="C15" s="538"/>
      <c r="D15" s="188" t="s">
        <v>10</v>
      </c>
      <c r="E15" s="275">
        <f>IFERROR(VLOOKUP(D15,'미니게임_DATA(순)'!$A$4:$EV$45,118,0),0)</f>
        <v>177</v>
      </c>
      <c r="F15" s="275"/>
      <c r="G15" s="527"/>
      <c r="H15" s="527"/>
      <c r="I15" s="275">
        <f>IFERROR(VLOOKUP(D15,'미니게임_DATA(순)'!$A$4:$EV$45,119,0),0)</f>
        <v>188</v>
      </c>
      <c r="J15" s="275"/>
      <c r="K15" s="527"/>
      <c r="L15" s="527"/>
      <c r="M15" s="275">
        <f>IFERROR(VLOOKUP(D15,'미니게임_DATA(순)'!$A$4:$EV$45,120,0),0)</f>
        <v>171</v>
      </c>
      <c r="N15" s="275"/>
      <c r="O15" s="527"/>
      <c r="P15" s="527"/>
      <c r="Q15" s="275">
        <f t="shared" si="0"/>
        <v>536</v>
      </c>
      <c r="R15" s="300">
        <f t="shared" ref="R15:R16" si="1">AVERAGE(E15,I15,M15)</f>
        <v>178.66666666666666</v>
      </c>
      <c r="S15" s="530"/>
      <c r="T15" s="527"/>
      <c r="U15" s="190">
        <f>IFERROR(R15-VLOOKUP(D15,'미니게임_DATA(순)'!$A:$FB,MATCH("rct 20g avg",'미니게임_DATA(순)'!$A$3:$FB$3,0),0),0)</f>
        <v>27.766666666666652</v>
      </c>
      <c r="W15" s="185">
        <f t="shared" ref="W15:W16" si="2">MAX(E15,I15,M15)</f>
        <v>188</v>
      </c>
      <c r="X15" s="267">
        <f t="shared" ref="X15:X16" si="3">R15</f>
        <v>178.66666666666666</v>
      </c>
      <c r="Y15" s="267" t="str">
        <f>VLOOKUP(Z15,'미니게임_DATA(순)'!$A$4:$C$45,3,0)</f>
        <v>남</v>
      </c>
      <c r="Z15" s="187" t="str">
        <f>D15</f>
        <v>김신철</v>
      </c>
    </row>
    <row r="16" spans="2:28">
      <c r="C16" s="538"/>
      <c r="D16" s="188"/>
      <c r="E16" s="275">
        <f>IFERROR(VLOOKUP(D16,'미니게임_DATA(순)'!$A$4:$EV$45,115,0),0)</f>
        <v>0</v>
      </c>
      <c r="F16" s="275"/>
      <c r="G16" s="527"/>
      <c r="H16" s="527"/>
      <c r="I16" s="275">
        <f>IFERROR(VLOOKUP(D16,'미니게임_DATA(순)'!$A$4:$EV$45,116,0),0)</f>
        <v>0</v>
      </c>
      <c r="J16" s="275"/>
      <c r="K16" s="527"/>
      <c r="L16" s="527"/>
      <c r="M16" s="275">
        <f>IFERROR(VLOOKUP(D16,'미니게임_DATA(순)'!$A$4:$EV$45,117,0),0)</f>
        <v>0</v>
      </c>
      <c r="N16" s="275"/>
      <c r="O16" s="527"/>
      <c r="P16" s="527"/>
      <c r="Q16" s="275">
        <f t="shared" si="0"/>
        <v>0</v>
      </c>
      <c r="R16" s="276">
        <f t="shared" si="1"/>
        <v>0</v>
      </c>
      <c r="S16" s="530"/>
      <c r="T16" s="527"/>
      <c r="U16" s="190">
        <f>IFERROR(R16-VLOOKUP(D16,'미니게임_DATA(순)'!$A:$FB,MATCH("rct 20g avg",'미니게임_DATA(순)'!$A$3:$FB$3,0),0),0)</f>
        <v>0</v>
      </c>
      <c r="W16" s="185">
        <f t="shared" si="2"/>
        <v>0</v>
      </c>
      <c r="X16" s="267">
        <f t="shared" si="3"/>
        <v>0</v>
      </c>
      <c r="Z16" s="187">
        <f>D16</f>
        <v>0</v>
      </c>
    </row>
    <row r="17" spans="3:27">
      <c r="C17" s="538"/>
      <c r="D17" s="191"/>
      <c r="E17" s="279"/>
      <c r="F17" s="279"/>
      <c r="G17" s="527"/>
      <c r="H17" s="527"/>
      <c r="I17" s="279"/>
      <c r="J17" s="279"/>
      <c r="K17" s="527"/>
      <c r="L17" s="527"/>
      <c r="M17" s="279"/>
      <c r="N17" s="279"/>
      <c r="O17" s="527"/>
      <c r="P17" s="527"/>
      <c r="Q17" s="279">
        <f t="shared" si="0"/>
        <v>0</v>
      </c>
      <c r="R17" s="276">
        <f t="shared" ref="R17" si="4">Q17/3</f>
        <v>0</v>
      </c>
      <c r="S17" s="530"/>
      <c r="T17" s="527"/>
      <c r="U17" s="190">
        <f>IFERROR(R17-VLOOKUP(D17,'미니게임_DATA(순)'!$A:$FB,MATCH("rct 20g avg",'미니게임_DATA(순)'!$A$3:$FB$3,0),0),0)</f>
        <v>0</v>
      </c>
      <c r="W17" s="185"/>
      <c r="Z17" s="187"/>
    </row>
    <row r="18" spans="3:27" ht="16.5">
      <c r="C18" s="539"/>
      <c r="D18" s="389"/>
      <c r="E18" s="535">
        <f>SUMIF(E14:F17, "&gt;0")</f>
        <v>392</v>
      </c>
      <c r="F18" s="498"/>
      <c r="G18" s="528"/>
      <c r="H18" s="528"/>
      <c r="I18" s="535">
        <f>SUMIF(I14:I17, "&gt;0")</f>
        <v>433</v>
      </c>
      <c r="J18" s="498"/>
      <c r="K18" s="528"/>
      <c r="L18" s="528"/>
      <c r="M18" s="535">
        <f>SUMIF(M14:M17, "&gt;0")</f>
        <v>327</v>
      </c>
      <c r="N18" s="498"/>
      <c r="O18" s="528"/>
      <c r="P18" s="528"/>
      <c r="Q18" s="272">
        <f t="shared" si="0"/>
        <v>1152</v>
      </c>
      <c r="R18" s="196"/>
      <c r="S18" s="531"/>
      <c r="T18" s="528"/>
      <c r="U18" s="277">
        <f>IFERROR(R18-VLOOKUP(D18,'미니게임_DATA(순)'!$A:$FB,MATCH("rct 20g avg",'미니게임_DATA(순)'!$A$3:$FB$3,0),0),0)</f>
        <v>0</v>
      </c>
      <c r="V18" s="185"/>
      <c r="W18" s="185"/>
      <c r="Z18" s="187">
        <f>D18</f>
        <v>0</v>
      </c>
      <c r="AA18" s="187">
        <f>SUM(E18,I18)</f>
        <v>825</v>
      </c>
    </row>
    <row r="19" spans="3:27">
      <c r="C19" s="537" t="s">
        <v>146</v>
      </c>
      <c r="D19" s="180" t="s">
        <v>241</v>
      </c>
      <c r="E19" s="275">
        <f>IFERROR(VLOOKUP(D19,'미니게임_DATA(순)'!$A$4:$EV$45,118,0),0)</f>
        <v>129</v>
      </c>
      <c r="F19" s="273"/>
      <c r="G19" s="526">
        <f>RANK(E23,($E$18,$E$23,$E$28,$E$33,E$38))</f>
        <v>4</v>
      </c>
      <c r="H19" s="526">
        <f t="shared" ref="H19" si="5">G19</f>
        <v>4</v>
      </c>
      <c r="I19" s="275">
        <f>IFERROR(VLOOKUP(D19,'미니게임_DATA(순)'!$A$4:$EV$45,119,0),0)</f>
        <v>158</v>
      </c>
      <c r="J19" s="273"/>
      <c r="K19" s="526">
        <f>RANK(I23,($I$18,$I$23,$I$28,$I$33,I$38))</f>
        <v>4</v>
      </c>
      <c r="L19" s="526">
        <f>RANK(AA23,($AA$18,$AA$23,$AA$28,$AA$33,$AA$38))</f>
        <v>4</v>
      </c>
      <c r="M19" s="275">
        <f>IFERROR(VLOOKUP(D19,'미니게임_DATA(순)'!$A$4:$EV$45,120,0),0)</f>
        <v>160</v>
      </c>
      <c r="N19" s="273"/>
      <c r="O19" s="526">
        <f>RANK(M23,($M$18,$M$23,$M$28,$M$33,$M$38))</f>
        <v>3</v>
      </c>
      <c r="P19" s="526">
        <f t="shared" ref="P19" si="6">S19</f>
        <v>4</v>
      </c>
      <c r="Q19" s="273">
        <f t="shared" si="0"/>
        <v>447</v>
      </c>
      <c r="R19" s="274">
        <f>AVERAGE(E19,I19,M19)</f>
        <v>149</v>
      </c>
      <c r="S19" s="529">
        <f>RANK(Q23,($Q$18,$Q$23,$Q$28,$Q$33,$Q$38))</f>
        <v>4</v>
      </c>
      <c r="T19" s="532">
        <f>MAX($Q$18,$Q$23,Q$28,Q$33,Q$38)-Q23</f>
        <v>281</v>
      </c>
      <c r="U19" s="184">
        <f>IFERROR(R19-VLOOKUP(D19,'미니게임_DATA(순)'!$A:$FB,MATCH("rct 20g avg",'미니게임_DATA(순)'!$A$3:$FB$3,0),0),0)</f>
        <v>-9.1500000000000057</v>
      </c>
      <c r="W19" s="185">
        <f>MAX(E19,I19,M19)</f>
        <v>160</v>
      </c>
      <c r="X19" s="267">
        <f>R19</f>
        <v>149</v>
      </c>
      <c r="Y19" s="267" t="str">
        <f>VLOOKUP(Z19,'미니게임_DATA(순)'!$A$4:$C$45,3,0)</f>
        <v>남</v>
      </c>
      <c r="Z19" s="187" t="str">
        <f>D19</f>
        <v>이유재</v>
      </c>
    </row>
    <row r="20" spans="3:27">
      <c r="C20" s="538"/>
      <c r="D20" s="188" t="s">
        <v>22</v>
      </c>
      <c r="E20" s="275">
        <f>IFERROR(VLOOKUP(D20,'미니게임_DATA(순)'!$A$4:$EV$45,118,0),0)</f>
        <v>106</v>
      </c>
      <c r="F20" s="275"/>
      <c r="G20" s="527"/>
      <c r="H20" s="527"/>
      <c r="I20" s="275">
        <f>IFERROR(VLOOKUP(D20,'미니게임_DATA(순)'!$A$4:$EV$45,119,0),0)</f>
        <v>158</v>
      </c>
      <c r="J20" s="275"/>
      <c r="K20" s="527"/>
      <c r="L20" s="527"/>
      <c r="M20" s="275">
        <f>IFERROR(VLOOKUP(D20,'미니게임_DATA(순)'!$A$4:$EV$45,120,0),0)</f>
        <v>160</v>
      </c>
      <c r="N20" s="275"/>
      <c r="O20" s="527"/>
      <c r="P20" s="527"/>
      <c r="Q20" s="275">
        <f t="shared" si="0"/>
        <v>424</v>
      </c>
      <c r="R20" s="300">
        <f t="shared" ref="R20:R21" si="7">AVERAGE(E20,I20,M20)</f>
        <v>141.33333333333334</v>
      </c>
      <c r="S20" s="530"/>
      <c r="T20" s="533"/>
      <c r="U20" s="190">
        <f>IFERROR(R20-VLOOKUP(D20,'미니게임_DATA(순)'!$A:$FB,MATCH("rct 20g avg",'미니게임_DATA(순)'!$A$3:$FB$3,0),0),0)</f>
        <v>-1.9666666666666686</v>
      </c>
      <c r="W20" s="185">
        <f t="shared" ref="W20:W21" si="8">MAX(E20,I20,M20)</f>
        <v>160</v>
      </c>
      <c r="X20" s="267">
        <f>R20</f>
        <v>141.33333333333334</v>
      </c>
      <c r="Y20" s="267" t="str">
        <f>VLOOKUP(Z20,'미니게임_DATA(순)'!$A$4:$C$45,3,0)</f>
        <v>남</v>
      </c>
      <c r="Z20" s="187" t="str">
        <f>D20</f>
        <v>이강은</v>
      </c>
    </row>
    <row r="21" spans="3:27">
      <c r="C21" s="538"/>
      <c r="D21" s="188"/>
      <c r="E21" s="275">
        <f>IFERROR(VLOOKUP(D21,'미니게임_DATA(순)'!$A$4:$EV$45,115,0),0)</f>
        <v>0</v>
      </c>
      <c r="F21" s="275"/>
      <c r="G21" s="527"/>
      <c r="H21" s="527"/>
      <c r="I21" s="275">
        <f>IFERROR(VLOOKUP(D21,'미니게임_DATA(순)'!$A$4:$EV$45,116,0),0)</f>
        <v>0</v>
      </c>
      <c r="J21" s="275"/>
      <c r="K21" s="527"/>
      <c r="L21" s="527"/>
      <c r="M21" s="275">
        <f>IFERROR(VLOOKUP(D21,'미니게임_DATA(순)'!$A$4:$EV$45,117,0),0)</f>
        <v>0</v>
      </c>
      <c r="N21" s="275"/>
      <c r="O21" s="527"/>
      <c r="P21" s="527"/>
      <c r="Q21" s="275">
        <f t="shared" si="0"/>
        <v>0</v>
      </c>
      <c r="R21" s="276">
        <f t="shared" si="7"/>
        <v>0</v>
      </c>
      <c r="S21" s="530"/>
      <c r="T21" s="533"/>
      <c r="U21" s="190">
        <f>IFERROR(R21-VLOOKUP(D21,'미니게임_DATA(순)'!$A:$FB,MATCH("rct 20g avg",'미니게임_DATA(순)'!$A$3:$FB$3,0),0),0)</f>
        <v>0</v>
      </c>
      <c r="W21" s="185">
        <f t="shared" si="8"/>
        <v>0</v>
      </c>
      <c r="X21" s="267">
        <f>R21</f>
        <v>0</v>
      </c>
      <c r="Z21" s="187">
        <f>D21</f>
        <v>0</v>
      </c>
    </row>
    <row r="22" spans="3:27">
      <c r="C22" s="538"/>
      <c r="D22" s="188"/>
      <c r="E22" s="279"/>
      <c r="F22" s="279"/>
      <c r="G22" s="527"/>
      <c r="H22" s="527"/>
      <c r="I22" s="279"/>
      <c r="J22" s="279"/>
      <c r="K22" s="527"/>
      <c r="L22" s="527"/>
      <c r="M22" s="279"/>
      <c r="N22" s="279"/>
      <c r="O22" s="527"/>
      <c r="P22" s="527"/>
      <c r="Q22" s="279">
        <f t="shared" si="0"/>
        <v>0</v>
      </c>
      <c r="R22" s="276">
        <f t="shared" ref="R22" si="9">Q22/3</f>
        <v>0</v>
      </c>
      <c r="S22" s="530"/>
      <c r="T22" s="533"/>
      <c r="U22" s="190">
        <f>IFERROR(R22-VLOOKUP(D22,'미니게임_DATA(순)'!$A:$FB,MATCH("rct 20g avg",'미니게임_DATA(순)'!$A$3:$FB$3,0),0),0)</f>
        <v>0</v>
      </c>
      <c r="W22" s="185"/>
      <c r="Z22" s="187"/>
    </row>
    <row r="23" spans="3:27" ht="16.5">
      <c r="C23" s="539"/>
      <c r="D23" s="389"/>
      <c r="E23" s="535">
        <f>SUMIF(E19:F22, "&gt;0")</f>
        <v>235</v>
      </c>
      <c r="F23" s="498"/>
      <c r="G23" s="528"/>
      <c r="H23" s="528"/>
      <c r="I23" s="535">
        <f>SUMIF(I19:J22, "&gt;0")</f>
        <v>316</v>
      </c>
      <c r="J23" s="498"/>
      <c r="K23" s="528"/>
      <c r="L23" s="528"/>
      <c r="M23" s="535">
        <f>SUMIF(M19:N22, "&gt;0")</f>
        <v>320</v>
      </c>
      <c r="N23" s="498"/>
      <c r="O23" s="528"/>
      <c r="P23" s="528"/>
      <c r="Q23" s="272">
        <f t="shared" si="0"/>
        <v>871</v>
      </c>
      <c r="R23" s="196"/>
      <c r="S23" s="531"/>
      <c r="T23" s="534"/>
      <c r="U23" s="277">
        <f>IFERROR(R23-VLOOKUP(D23,'미니게임_DATA(순)'!$A:$FB,MATCH("rct 20g avg",'미니게임_DATA(순)'!$A$3:$FB$3,0),0),0)</f>
        <v>0</v>
      </c>
      <c r="V23" s="185"/>
      <c r="W23" s="185"/>
      <c r="Z23" s="187">
        <f t="shared" ref="Z23:Z32" si="10">D23</f>
        <v>0</v>
      </c>
      <c r="AA23" s="187">
        <f>SUM(E23,I23)</f>
        <v>551</v>
      </c>
    </row>
    <row r="24" spans="3:27">
      <c r="C24" s="537" t="s">
        <v>147</v>
      </c>
      <c r="D24" s="180" t="s">
        <v>37</v>
      </c>
      <c r="E24" s="275">
        <f>IFERROR(VLOOKUP(D24,'미니게임_DATA(순)'!$A$4:$EV$45,118,0),0)</f>
        <v>126</v>
      </c>
      <c r="F24" s="273"/>
      <c r="G24" s="526">
        <f>RANK(E28,($E$18,$E$23,$E$28,$E$33,E$38))</f>
        <v>3</v>
      </c>
      <c r="H24" s="526">
        <f t="shared" ref="H24" si="11">G24</f>
        <v>3</v>
      </c>
      <c r="I24" s="275">
        <f>IFERROR(VLOOKUP(D24,'미니게임_DATA(순)'!$A$4:$EV$45,119,0),0)</f>
        <v>164</v>
      </c>
      <c r="J24" s="273"/>
      <c r="K24" s="526">
        <f>RANK(I28,($I$18,$I$23,$I$28,$I$33,I$38))</f>
        <v>3</v>
      </c>
      <c r="L24" s="526">
        <f>RANK(AA28,($AA$18,$AA$23,$AA$28,$AA$33,$AA$38))</f>
        <v>3</v>
      </c>
      <c r="M24" s="275">
        <f>IFERROR(VLOOKUP(D24,'미니게임_DATA(순)'!$A$4:$EV$45,120,0),0)</f>
        <v>148</v>
      </c>
      <c r="N24" s="273"/>
      <c r="O24" s="526">
        <f>RANK(M28,($M$18,$M$23,$M$28,$M$33,$M$38))</f>
        <v>4</v>
      </c>
      <c r="P24" s="526">
        <f t="shared" ref="P24" si="12">S24</f>
        <v>3</v>
      </c>
      <c r="Q24" s="273">
        <f t="shared" si="0"/>
        <v>438</v>
      </c>
      <c r="R24" s="274">
        <f>AVERAGE(E24,I24,M24)</f>
        <v>146</v>
      </c>
      <c r="S24" s="529">
        <f>RANK(Q28,($Q$18,$Q$23,$Q$28,$Q$33,$Q$38))</f>
        <v>3</v>
      </c>
      <c r="T24" s="532">
        <f>MAX($Q$18,$Q$23,Q$28,Q$33,Q$38)-Q28</f>
        <v>247</v>
      </c>
      <c r="U24" s="184">
        <f>IFERROR(R24-VLOOKUP(D24,'미니게임_DATA(순)'!$A:$FB,MATCH("rct 20g avg",'미니게임_DATA(순)'!$A$3:$FB$3,0),0),0)</f>
        <v>-21.099999999999994</v>
      </c>
      <c r="W24" s="185">
        <f t="shared" ref="W24:W27" si="13">MAX(E24,I24,M24)</f>
        <v>164</v>
      </c>
      <c r="X24" s="267">
        <f>R24</f>
        <v>146</v>
      </c>
      <c r="Y24" s="267" t="str">
        <f>VLOOKUP(Z24,'미니게임_DATA(순)'!$A$4:$C$45,3,0)</f>
        <v>남</v>
      </c>
      <c r="Z24" s="187" t="str">
        <f t="shared" si="10"/>
        <v>최은규</v>
      </c>
    </row>
    <row r="25" spans="3:27">
      <c r="C25" s="538"/>
      <c r="D25" s="188" t="s">
        <v>17</v>
      </c>
      <c r="E25" s="275">
        <f>IFERROR(VLOOKUP(D25,'미니게임_DATA(순)'!$A$4:$EV$45,118,0),0)</f>
        <v>145</v>
      </c>
      <c r="F25" s="275"/>
      <c r="G25" s="527"/>
      <c r="H25" s="527"/>
      <c r="I25" s="275">
        <f>IFERROR(VLOOKUP(D25,'미니게임_DATA(순)'!$A$4:$EV$45,119,0),0)</f>
        <v>157</v>
      </c>
      <c r="J25" s="275"/>
      <c r="K25" s="527"/>
      <c r="L25" s="527"/>
      <c r="M25" s="275">
        <f>IFERROR(VLOOKUP(D25,'미니게임_DATA(순)'!$A$4:$EV$45,120,0),0)</f>
        <v>165</v>
      </c>
      <c r="N25" s="275"/>
      <c r="O25" s="527"/>
      <c r="P25" s="527"/>
      <c r="Q25" s="275">
        <f t="shared" si="0"/>
        <v>467</v>
      </c>
      <c r="R25" s="300">
        <f t="shared" ref="R25:R26" si="14">AVERAGE(E25,I25,M25)</f>
        <v>155.66666666666666</v>
      </c>
      <c r="S25" s="530"/>
      <c r="T25" s="533"/>
      <c r="U25" s="190">
        <f>IFERROR(R25-VLOOKUP(D25,'미니게임_DATA(순)'!$A:$FB,MATCH("rct 20g avg",'미니게임_DATA(순)'!$A$3:$FB$3,0),0),0)</f>
        <v>6.3166666666666629</v>
      </c>
      <c r="W25" s="185">
        <f t="shared" si="13"/>
        <v>165</v>
      </c>
      <c r="X25" s="267">
        <f>R25</f>
        <v>155.66666666666666</v>
      </c>
      <c r="Y25" s="267" t="str">
        <f>VLOOKUP(Z25,'미니게임_DATA(순)'!$A$4:$C$45,3,0)</f>
        <v>남</v>
      </c>
      <c r="Z25" s="187" t="str">
        <f t="shared" si="10"/>
        <v>한희용</v>
      </c>
    </row>
    <row r="26" spans="3:27">
      <c r="C26" s="538"/>
      <c r="D26" s="188"/>
      <c r="E26" s="275">
        <f>IFERROR(VLOOKUP(D26,'미니게임_DATA(순)'!$A$4:$EV$45,115,0),0)</f>
        <v>0</v>
      </c>
      <c r="F26" s="275"/>
      <c r="G26" s="527"/>
      <c r="H26" s="527"/>
      <c r="I26" s="275">
        <f>IFERROR(VLOOKUP(D26,'미니게임_DATA(순)'!$A$4:$EV$45,116,0),0)</f>
        <v>0</v>
      </c>
      <c r="J26" s="275"/>
      <c r="K26" s="527"/>
      <c r="L26" s="527"/>
      <c r="M26" s="275">
        <f>IFERROR(VLOOKUP(D26,'미니게임_DATA(순)'!$A$4:$EV$45,117,0),0)</f>
        <v>0</v>
      </c>
      <c r="N26" s="275"/>
      <c r="O26" s="527"/>
      <c r="P26" s="527"/>
      <c r="Q26" s="275">
        <f t="shared" si="0"/>
        <v>0</v>
      </c>
      <c r="R26" s="276">
        <f t="shared" si="14"/>
        <v>0</v>
      </c>
      <c r="S26" s="530"/>
      <c r="T26" s="533"/>
      <c r="U26" s="190">
        <f>IFERROR(R26-VLOOKUP(D26,'미니게임_DATA(순)'!$A:$FB,MATCH("rct 20g avg",'미니게임_DATA(순)'!$A$3:$FB$3,0),0),0)</f>
        <v>0</v>
      </c>
      <c r="W26" s="185">
        <f t="shared" si="13"/>
        <v>0</v>
      </c>
      <c r="X26" s="267">
        <f>R26</f>
        <v>0</v>
      </c>
      <c r="Z26" s="187">
        <f t="shared" si="10"/>
        <v>0</v>
      </c>
    </row>
    <row r="27" spans="3:27">
      <c r="C27" s="538"/>
      <c r="D27" s="191"/>
      <c r="E27" s="302">
        <f>IFERROR(VLOOKUP(D27,'미니게임_DATA(순)'!$A$4:$EV$45,111,0),0)</f>
        <v>0</v>
      </c>
      <c r="F27" s="279"/>
      <c r="G27" s="527"/>
      <c r="H27" s="527"/>
      <c r="I27" s="302">
        <f>IFERROR(VLOOKUP(D27,'미니게임_DATA(순)'!$A$4:$EV$45,112,0),0)</f>
        <v>0</v>
      </c>
      <c r="J27" s="279"/>
      <c r="K27" s="527"/>
      <c r="L27" s="527"/>
      <c r="M27" s="302">
        <f>IFERROR(VLOOKUP(D27,'미니게임_DATA(순)'!$A$4:$EV$45,113,0),0)</f>
        <v>0</v>
      </c>
      <c r="N27" s="279"/>
      <c r="O27" s="527"/>
      <c r="P27" s="527"/>
      <c r="Q27" s="279">
        <f t="shared" si="0"/>
        <v>0</v>
      </c>
      <c r="R27" s="276">
        <f t="shared" ref="R27" si="15">Q27/3</f>
        <v>0</v>
      </c>
      <c r="S27" s="530"/>
      <c r="T27" s="533"/>
      <c r="U27" s="190">
        <f>IFERROR(R27-VLOOKUP(D27,'미니게임_DATA(순)'!$A:$FB,MATCH("rct 20g avg",'미니게임_DATA(순)'!$A$3:$FB$3,0),0),0)</f>
        <v>0</v>
      </c>
      <c r="W27" s="185">
        <f t="shared" si="13"/>
        <v>0</v>
      </c>
      <c r="X27" s="267">
        <f>R27</f>
        <v>0</v>
      </c>
      <c r="Y27" s="388" t="s">
        <v>239</v>
      </c>
      <c r="Z27" s="187">
        <f t="shared" si="10"/>
        <v>0</v>
      </c>
    </row>
    <row r="28" spans="3:27" ht="16.5">
      <c r="C28" s="539"/>
      <c r="D28" s="389"/>
      <c r="E28" s="535">
        <f>SUMIF(E24:F26, "&gt;0")</f>
        <v>271</v>
      </c>
      <c r="F28" s="498"/>
      <c r="G28" s="528"/>
      <c r="H28" s="528"/>
      <c r="I28" s="535">
        <f>SUMIF(I24:J26, "&gt;0")</f>
        <v>321</v>
      </c>
      <c r="J28" s="498"/>
      <c r="K28" s="528"/>
      <c r="L28" s="528"/>
      <c r="M28" s="535">
        <f>SUMIF(M24:N26, "&gt;0")</f>
        <v>313</v>
      </c>
      <c r="N28" s="498"/>
      <c r="O28" s="528"/>
      <c r="P28" s="528"/>
      <c r="Q28" s="272">
        <f t="shared" si="0"/>
        <v>905</v>
      </c>
      <c r="R28" s="196"/>
      <c r="S28" s="531"/>
      <c r="T28" s="534"/>
      <c r="U28" s="277">
        <f>IFERROR(R28-VLOOKUP(D28,'미니게임_DATA(순)'!$A:$FB,MATCH("rct 20g avg",'미니게임_DATA(순)'!$A$3:$FB$3,0),0),0)</f>
        <v>0</v>
      </c>
      <c r="V28" s="185"/>
      <c r="W28" s="185"/>
      <c r="Z28" s="187">
        <f t="shared" si="10"/>
        <v>0</v>
      </c>
      <c r="AA28" s="187">
        <f>SUM(E28,I28)</f>
        <v>592</v>
      </c>
    </row>
    <row r="29" spans="3:27">
      <c r="C29" s="537" t="s">
        <v>148</v>
      </c>
      <c r="D29" s="180" t="s">
        <v>11</v>
      </c>
      <c r="E29" s="275">
        <f>IFERROR(VLOOKUP(D29,'미니게임_DATA(순)'!$A$4:$EV$45,118,0),0)</f>
        <v>173</v>
      </c>
      <c r="F29" s="273"/>
      <c r="G29" s="526">
        <f>RANK(E33,($E$18,$E$23,$E$28,$E$33,$E$38))</f>
        <v>2</v>
      </c>
      <c r="H29" s="526">
        <f t="shared" ref="H29" si="16">G29</f>
        <v>2</v>
      </c>
      <c r="I29" s="275">
        <f>IFERROR(VLOOKUP(D29,'미니게임_DATA(순)'!$A$4:$EV$45,119,0),0)</f>
        <v>197</v>
      </c>
      <c r="J29" s="273"/>
      <c r="K29" s="526">
        <f>RANK(I33,($I$18,$I$23,$I$28,$I$33,I$38))</f>
        <v>2</v>
      </c>
      <c r="L29" s="526">
        <f>RANK(AA33,($AA$18,$AA$23,$AA$28,$AA$33,$AA$38))</f>
        <v>2</v>
      </c>
      <c r="M29" s="275">
        <f>IFERROR(VLOOKUP(D29,'미니게임_DATA(순)'!$A$4:$EV$45,120,0),0)</f>
        <v>194</v>
      </c>
      <c r="N29" s="273"/>
      <c r="O29" s="526">
        <f>RANK(M33,($M$18,$M$23,$M$28,$M$33,$M$38))</f>
        <v>1</v>
      </c>
      <c r="P29" s="526">
        <f t="shared" ref="P29" si="17">S29</f>
        <v>2</v>
      </c>
      <c r="Q29" s="273">
        <f t="shared" si="0"/>
        <v>564</v>
      </c>
      <c r="R29" s="274">
        <f>AVERAGE(E29,I29,M29)</f>
        <v>188</v>
      </c>
      <c r="S29" s="529">
        <f>RANK(Q33,($Q$18,$Q$23,$Q$28,$Q$33,$Q$38))</f>
        <v>2</v>
      </c>
      <c r="T29" s="532">
        <f>MAX($Q$18,$Q$23,Q$28,Q$33,Q$38)-Q33</f>
        <v>120</v>
      </c>
      <c r="U29" s="184">
        <f>IFERROR(R29-VLOOKUP(D29,'미니게임_DATA(순)'!$A:$FB,MATCH("rct 20g avg",'미니게임_DATA(순)'!$A$3:$FB$3,0),0),0)</f>
        <v>29.849999999999994</v>
      </c>
      <c r="W29" s="185">
        <f t="shared" ref="W29:W30" si="18">MAX(E29,I29,M29)</f>
        <v>197</v>
      </c>
      <c r="X29" s="267">
        <f>R29</f>
        <v>188</v>
      </c>
      <c r="Y29" s="267" t="str">
        <f>IFERROR(VLOOKUP(Z29,'미니게임_DATA(순)'!$A$4:$C$45,3,0),"-")</f>
        <v>남</v>
      </c>
      <c r="Z29" s="187" t="str">
        <f t="shared" si="10"/>
        <v>박용승</v>
      </c>
    </row>
    <row r="30" spans="3:27">
      <c r="C30" s="538"/>
      <c r="D30" s="188" t="s">
        <v>12</v>
      </c>
      <c r="E30" s="275">
        <f>IFERROR(VLOOKUP(D30,'미니게임_DATA(순)'!$A$4:$EV$45,118,0),0)</f>
        <v>156</v>
      </c>
      <c r="F30" s="275"/>
      <c r="G30" s="527"/>
      <c r="H30" s="527"/>
      <c r="I30" s="275">
        <f>IFERROR(VLOOKUP(D30,'미니게임_DATA(순)'!$A$4:$EV$45,119,0),0)</f>
        <v>150</v>
      </c>
      <c r="J30" s="275"/>
      <c r="K30" s="527"/>
      <c r="L30" s="527"/>
      <c r="M30" s="275">
        <f>IFERROR(VLOOKUP(D30,'미니게임_DATA(순)'!$A$4:$EV$45,120,0),0)</f>
        <v>162</v>
      </c>
      <c r="N30" s="275"/>
      <c r="O30" s="527"/>
      <c r="P30" s="527"/>
      <c r="Q30" s="275">
        <f t="shared" si="0"/>
        <v>468</v>
      </c>
      <c r="R30" s="300">
        <f t="shared" ref="R30" si="19">AVERAGE(E30,I30,M30)</f>
        <v>156</v>
      </c>
      <c r="S30" s="530"/>
      <c r="T30" s="533"/>
      <c r="U30" s="190">
        <f>IFERROR(R30-VLOOKUP(D30,'미니게임_DATA(순)'!$A:$FB,MATCH("rct 20g avg",'미니게임_DATA(순)'!$A$3:$FB$3,0),0),0)</f>
        <v>6.4000000000000057</v>
      </c>
      <c r="W30" s="185">
        <f t="shared" si="18"/>
        <v>162</v>
      </c>
      <c r="X30" s="267">
        <f>R30</f>
        <v>156</v>
      </c>
      <c r="Y30" s="267" t="str">
        <f>IFERROR(VLOOKUP(Z30,'미니게임_DATA(순)'!$A$4:$C$45,3,0),"-")</f>
        <v>여</v>
      </c>
      <c r="Z30" s="187" t="str">
        <f t="shared" si="10"/>
        <v>성소라</v>
      </c>
    </row>
    <row r="31" spans="3:27">
      <c r="C31" s="538"/>
      <c r="D31" s="342"/>
      <c r="E31" s="279"/>
      <c r="F31" s="275"/>
      <c r="G31" s="527"/>
      <c r="H31" s="527"/>
      <c r="I31" s="279"/>
      <c r="J31" s="275"/>
      <c r="K31" s="527"/>
      <c r="L31" s="527"/>
      <c r="M31" s="279"/>
      <c r="N31" s="275"/>
      <c r="O31" s="527"/>
      <c r="P31" s="527"/>
      <c r="Q31" s="275">
        <f t="shared" si="0"/>
        <v>0</v>
      </c>
      <c r="R31" s="276">
        <f t="shared" ref="R31:R32" si="20">Q31/3</f>
        <v>0</v>
      </c>
      <c r="S31" s="530"/>
      <c r="T31" s="533"/>
      <c r="U31" s="190">
        <f>IFERROR(R31-VLOOKUP(D31,'미니게임_DATA(순)'!$A:$FB,MATCH("rct 20g avg",'미니게임_DATA(순)'!$A$3:$FB$3,0),0),0)</f>
        <v>0</v>
      </c>
      <c r="W31" s="185"/>
      <c r="X31" s="267">
        <f>R31</f>
        <v>0</v>
      </c>
      <c r="Y31" s="267" t="str">
        <f>IFERROR(VLOOKUP(Z31,'미니게임_DATA(순)'!$A$4:$C$45,3,0),"-")</f>
        <v>-</v>
      </c>
      <c r="Z31" s="187">
        <f t="shared" si="10"/>
        <v>0</v>
      </c>
    </row>
    <row r="32" spans="3:27">
      <c r="C32" s="538"/>
      <c r="D32" s="188"/>
      <c r="E32" s="387">
        <f>IFERROR(VLOOKUP(D32,'미니게임_DATA(순)'!$A$4:$EV$45,115,0),0)</f>
        <v>0</v>
      </c>
      <c r="F32" s="279"/>
      <c r="G32" s="527"/>
      <c r="H32" s="527"/>
      <c r="I32" s="387">
        <f>IFERROR(VLOOKUP(D32,'미니게임_DATA(순)'!$A$4:$EV$45,116,0),0)</f>
        <v>0</v>
      </c>
      <c r="J32" s="279"/>
      <c r="K32" s="527"/>
      <c r="L32" s="527"/>
      <c r="M32" s="387">
        <f>IFERROR(VLOOKUP(D32,'미니게임_DATA(순)'!$A$4:$EV$45,117,0),0)</f>
        <v>0</v>
      </c>
      <c r="N32" s="279"/>
      <c r="O32" s="527"/>
      <c r="P32" s="527"/>
      <c r="Q32" s="279">
        <f t="shared" si="0"/>
        <v>0</v>
      </c>
      <c r="R32" s="276">
        <f t="shared" si="20"/>
        <v>0</v>
      </c>
      <c r="S32" s="530"/>
      <c r="T32" s="533"/>
      <c r="U32" s="190">
        <f>IFERROR(R32-VLOOKUP(D32,'미니게임_DATA(순)'!$A:$FB,MATCH("rct 20g avg",'미니게임_DATA(순)'!$A$3:$FB$3,0),0),0)</f>
        <v>0</v>
      </c>
      <c r="W32" s="185"/>
      <c r="Y32" s="267" t="str">
        <f>IFERROR(VLOOKUP(Z32,'미니게임_DATA(순)'!$A$4:$C$45,3,0),"-")</f>
        <v>-</v>
      </c>
      <c r="Z32" s="187">
        <f t="shared" si="10"/>
        <v>0</v>
      </c>
    </row>
    <row r="33" spans="2:28" ht="16.5">
      <c r="C33" s="539"/>
      <c r="D33" s="389"/>
      <c r="E33" s="535">
        <f>SUMIF(E29:F31, "&gt;0")</f>
        <v>329</v>
      </c>
      <c r="F33" s="498"/>
      <c r="G33" s="528"/>
      <c r="H33" s="528"/>
      <c r="I33" s="535">
        <f>SUMIF(I29:J31, "&gt;0")</f>
        <v>347</v>
      </c>
      <c r="J33" s="498"/>
      <c r="K33" s="528"/>
      <c r="L33" s="528"/>
      <c r="M33" s="535">
        <f>SUMIF(M29:N31, "&gt;0")</f>
        <v>356</v>
      </c>
      <c r="N33" s="536"/>
      <c r="O33" s="528"/>
      <c r="P33" s="528"/>
      <c r="Q33" s="272">
        <f t="shared" si="0"/>
        <v>1032</v>
      </c>
      <c r="R33" s="196"/>
      <c r="S33" s="531"/>
      <c r="T33" s="534"/>
      <c r="U33" s="277">
        <f>IFERROR(R33-VLOOKUP(D33,'미니게임_DATA(순)'!$A:$FB,MATCH("rct 20g avg",'미니게임_DATA(순)'!$A$3:$FB$3,0),0),0)</f>
        <v>0</v>
      </c>
      <c r="V33" s="185"/>
      <c r="W33" s="185"/>
      <c r="Y33" s="267" t="str">
        <f>IFERROR(VLOOKUP(Z33,'미니게임_DATA(순)'!$A$4:$C$45,3,0),"-")</f>
        <v>-</v>
      </c>
      <c r="Z33" s="187">
        <f>D33</f>
        <v>0</v>
      </c>
      <c r="AA33" s="187">
        <f>SUM(E33,I33)</f>
        <v>676</v>
      </c>
    </row>
    <row r="34" spans="2:28">
      <c r="C34" s="537"/>
      <c r="D34" s="180"/>
      <c r="E34" s="273"/>
      <c r="F34" s="273"/>
      <c r="G34" s="526"/>
      <c r="H34" s="526"/>
      <c r="I34" s="273"/>
      <c r="J34" s="273"/>
      <c r="K34" s="526"/>
      <c r="L34" s="526"/>
      <c r="M34" s="273"/>
      <c r="N34" s="273"/>
      <c r="O34" s="526"/>
      <c r="P34" s="526"/>
      <c r="Q34" s="273"/>
      <c r="R34" s="274"/>
      <c r="S34" s="529"/>
      <c r="T34" s="532"/>
      <c r="U34" s="184"/>
      <c r="W34" s="185"/>
      <c r="Z34" s="187"/>
    </row>
    <row r="35" spans="2:28" s="172" customFormat="1">
      <c r="B35" s="169"/>
      <c r="C35" s="538"/>
      <c r="D35" s="188"/>
      <c r="E35" s="275"/>
      <c r="F35" s="275"/>
      <c r="G35" s="527"/>
      <c r="H35" s="527"/>
      <c r="I35" s="275"/>
      <c r="J35" s="275"/>
      <c r="K35" s="527"/>
      <c r="L35" s="527"/>
      <c r="M35" s="275"/>
      <c r="N35" s="275"/>
      <c r="O35" s="527"/>
      <c r="P35" s="527"/>
      <c r="Q35" s="275"/>
      <c r="R35" s="300"/>
      <c r="S35" s="530"/>
      <c r="T35" s="533"/>
      <c r="U35" s="190"/>
      <c r="W35" s="185"/>
      <c r="X35" s="267"/>
      <c r="Y35" s="267"/>
      <c r="Z35" s="187"/>
      <c r="AA35" s="169"/>
      <c r="AB35" s="169"/>
    </row>
    <row r="36" spans="2:28" s="172" customFormat="1">
      <c r="B36" s="169"/>
      <c r="C36" s="538"/>
      <c r="D36" s="342"/>
      <c r="E36" s="275"/>
      <c r="F36" s="275"/>
      <c r="G36" s="527"/>
      <c r="H36" s="527"/>
      <c r="I36" s="275"/>
      <c r="J36" s="275"/>
      <c r="K36" s="527"/>
      <c r="L36" s="527"/>
      <c r="M36" s="275"/>
      <c r="N36" s="275"/>
      <c r="O36" s="527"/>
      <c r="P36" s="527"/>
      <c r="Q36" s="275"/>
      <c r="R36" s="276"/>
      <c r="S36" s="530"/>
      <c r="T36" s="533"/>
      <c r="U36" s="190"/>
      <c r="W36" s="185"/>
      <c r="X36" s="267"/>
      <c r="Y36" s="267"/>
      <c r="Z36" s="187"/>
      <c r="AA36" s="169"/>
      <c r="AB36" s="169"/>
    </row>
    <row r="37" spans="2:28">
      <c r="C37" s="538"/>
      <c r="D37" s="188"/>
      <c r="E37" s="279"/>
      <c r="F37" s="279"/>
      <c r="G37" s="527"/>
      <c r="H37" s="527"/>
      <c r="I37" s="279"/>
      <c r="J37" s="279"/>
      <c r="K37" s="527"/>
      <c r="L37" s="527"/>
      <c r="M37" s="279"/>
      <c r="N37" s="279"/>
      <c r="O37" s="527"/>
      <c r="P37" s="527"/>
      <c r="Q37" s="279"/>
      <c r="R37" s="276"/>
      <c r="S37" s="530"/>
      <c r="T37" s="533"/>
      <c r="U37" s="190"/>
      <c r="W37" s="185"/>
      <c r="Z37" s="187"/>
    </row>
    <row r="38" spans="2:28" ht="16.5">
      <c r="C38" s="539"/>
      <c r="D38" s="389"/>
      <c r="E38" s="535"/>
      <c r="F38" s="498"/>
      <c r="G38" s="528"/>
      <c r="H38" s="528"/>
      <c r="I38" s="535"/>
      <c r="J38" s="498"/>
      <c r="K38" s="528"/>
      <c r="L38" s="528"/>
      <c r="M38" s="535"/>
      <c r="N38" s="498"/>
      <c r="O38" s="528"/>
      <c r="P38" s="528"/>
      <c r="Q38" s="272"/>
      <c r="R38" s="278"/>
      <c r="S38" s="531"/>
      <c r="T38" s="534"/>
      <c r="U38" s="277"/>
      <c r="V38" s="185"/>
      <c r="W38" s="185"/>
      <c r="Z38" s="187"/>
      <c r="AA38" s="187"/>
    </row>
  </sheetData>
  <mergeCells count="77">
    <mergeCell ref="P34:P38"/>
    <mergeCell ref="S34:S38"/>
    <mergeCell ref="T34:T38"/>
    <mergeCell ref="E38:F38"/>
    <mergeCell ref="I38:J38"/>
    <mergeCell ref="M38:N38"/>
    <mergeCell ref="O34:O38"/>
    <mergeCell ref="C34:C38"/>
    <mergeCell ref="G34:G38"/>
    <mergeCell ref="H34:H38"/>
    <mergeCell ref="K34:K38"/>
    <mergeCell ref="L34:L38"/>
    <mergeCell ref="P29:P33"/>
    <mergeCell ref="S29:S33"/>
    <mergeCell ref="T29:T33"/>
    <mergeCell ref="E33:F33"/>
    <mergeCell ref="I33:J33"/>
    <mergeCell ref="M33:N33"/>
    <mergeCell ref="O29:O33"/>
    <mergeCell ref="C29:C33"/>
    <mergeCell ref="G29:G33"/>
    <mergeCell ref="H29:H33"/>
    <mergeCell ref="K29:K33"/>
    <mergeCell ref="L29:L33"/>
    <mergeCell ref="P24:P28"/>
    <mergeCell ref="S24:S28"/>
    <mergeCell ref="T24:T28"/>
    <mergeCell ref="E28:F28"/>
    <mergeCell ref="I28:J28"/>
    <mergeCell ref="M28:N28"/>
    <mergeCell ref="O24:O28"/>
    <mergeCell ref="C24:C28"/>
    <mergeCell ref="G24:G28"/>
    <mergeCell ref="H24:H28"/>
    <mergeCell ref="K24:K28"/>
    <mergeCell ref="L24:L28"/>
    <mergeCell ref="P19:P23"/>
    <mergeCell ref="S19:S23"/>
    <mergeCell ref="T19:T23"/>
    <mergeCell ref="E23:F23"/>
    <mergeCell ref="I23:J23"/>
    <mergeCell ref="M23:N23"/>
    <mergeCell ref="O19:O23"/>
    <mergeCell ref="C19:C23"/>
    <mergeCell ref="G19:G23"/>
    <mergeCell ref="H19:H23"/>
    <mergeCell ref="K19:K23"/>
    <mergeCell ref="L19:L23"/>
    <mergeCell ref="P14:P18"/>
    <mergeCell ref="S14:S18"/>
    <mergeCell ref="T14:T18"/>
    <mergeCell ref="E18:F18"/>
    <mergeCell ref="I18:J18"/>
    <mergeCell ref="M18:N18"/>
    <mergeCell ref="U11:U13"/>
    <mergeCell ref="E12:H12"/>
    <mergeCell ref="I12:L12"/>
    <mergeCell ref="M12:P12"/>
    <mergeCell ref="C14:C18"/>
    <mergeCell ref="G14:G18"/>
    <mergeCell ref="H14:H18"/>
    <mergeCell ref="K14:K18"/>
    <mergeCell ref="L14:L18"/>
    <mergeCell ref="O14:O18"/>
    <mergeCell ref="C11:C13"/>
    <mergeCell ref="D11:D13"/>
    <mergeCell ref="E11:P11"/>
    <mergeCell ref="Q11:Q13"/>
    <mergeCell ref="R11:R13"/>
    <mergeCell ref="S11:T12"/>
    <mergeCell ref="B2:B3"/>
    <mergeCell ref="B4:B5"/>
    <mergeCell ref="B6:B9"/>
    <mergeCell ref="D6:E6"/>
    <mergeCell ref="D7:E7"/>
    <mergeCell ref="D8:E8"/>
    <mergeCell ref="D9:E9"/>
  </mergeCells>
  <phoneticPr fontId="2" type="noConversion"/>
  <conditionalFormatting sqref="G39:H1048576 O39:P1048576 K39:L1048576 O12:P13 G1:H13 K1:L13 O1:P10">
    <cfRule type="cellIs" dxfId="192" priority="12" operator="equal">
      <formula>1</formula>
    </cfRule>
  </conditionalFormatting>
  <conditionalFormatting sqref="P14:P38">
    <cfRule type="cellIs" dxfId="191" priority="10" operator="equal">
      <formula>1</formula>
    </cfRule>
  </conditionalFormatting>
  <conditionalFormatting sqref="G14:H14 G19:H19 H15:H18 G29:H29 H25:H28 G24:H24 H20:H23 H30:H33">
    <cfRule type="cellIs" dxfId="190" priority="11" operator="equal">
      <formula>1</formula>
    </cfRule>
  </conditionalFormatting>
  <conditionalFormatting sqref="K14:L14 K19 K29 K24 L15:L38">
    <cfRule type="cellIs" dxfId="189" priority="9" operator="equal">
      <formula>1</formula>
    </cfRule>
  </conditionalFormatting>
  <conditionalFormatting sqref="O14 O19 O29 O24">
    <cfRule type="cellIs" dxfId="188" priority="8" operator="equal">
      <formula>1</formula>
    </cfRule>
  </conditionalFormatting>
  <conditionalFormatting sqref="G34">
    <cfRule type="cellIs" dxfId="187" priority="7" operator="equal">
      <formula>1</formula>
    </cfRule>
  </conditionalFormatting>
  <conditionalFormatting sqref="H34:H38">
    <cfRule type="cellIs" dxfId="186" priority="6" operator="equal">
      <formula>1</formula>
    </cfRule>
  </conditionalFormatting>
  <conditionalFormatting sqref="K34">
    <cfRule type="cellIs" dxfId="185" priority="5" operator="equal">
      <formula>1</formula>
    </cfRule>
  </conditionalFormatting>
  <conditionalFormatting sqref="O34">
    <cfRule type="cellIs" dxfId="184" priority="4" operator="equal">
      <formula>1</formula>
    </cfRule>
  </conditionalFormatting>
  <conditionalFormatting sqref="R5">
    <cfRule type="cellIs" dxfId="183" priority="3" operator="greaterThan">
      <formula>200</formula>
    </cfRule>
  </conditionalFormatting>
  <conditionalFormatting sqref="E2:E5">
    <cfRule type="cellIs" dxfId="182" priority="2" operator="greaterThan">
      <formula>199.5</formula>
    </cfRule>
  </conditionalFormatting>
  <conditionalFormatting sqref="E14:E17 I14:I17 M14:M17 E19:E22 I19:I22 M19:M22 E24:E27 I24:I27 M24:M27 E29:E31 I29:I32 M29:M32">
    <cfRule type="cellIs" dxfId="181" priority="1" operator="greaterThan">
      <formula>199.5</formula>
    </cfRule>
  </conditionalFormatting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8"/>
  <sheetViews>
    <sheetView showGridLines="0" zoomScale="85" zoomScaleNormal="85" workbookViewId="0">
      <selection activeCell="M48" sqref="M48"/>
    </sheetView>
  </sheetViews>
  <sheetFormatPr defaultColWidth="9" defaultRowHeight="13.5"/>
  <cols>
    <col min="1" max="5" width="9" style="169"/>
    <col min="6" max="8" width="5.375" style="169" customWidth="1"/>
    <col min="9" max="9" width="9" style="169"/>
    <col min="10" max="12" width="5.375" style="169" customWidth="1"/>
    <col min="13" max="13" width="9" style="169"/>
    <col min="14" max="16" width="5.375" style="169" customWidth="1"/>
    <col min="17" max="17" width="7.375" style="170" customWidth="1"/>
    <col min="18" max="18" width="7.375" style="171" customWidth="1"/>
    <col min="19" max="20" width="7.375" style="169" customWidth="1"/>
    <col min="21" max="21" width="9" style="169"/>
    <col min="22" max="23" width="9" style="172" hidden="1" customWidth="1"/>
    <col min="24" max="25" width="9" style="267" hidden="1" customWidth="1"/>
    <col min="26" max="28" width="9" style="169" hidden="1" customWidth="1"/>
    <col min="29" max="16384" width="9" style="169"/>
  </cols>
  <sheetData>
    <row r="2" spans="2:28">
      <c r="B2" s="550" t="s">
        <v>154</v>
      </c>
      <c r="C2" s="166" t="s">
        <v>156</v>
      </c>
      <c r="D2" s="167" t="str">
        <f>VLOOKUP(E2,W14:Z37,4,0)</f>
        <v>조문수</v>
      </c>
      <c r="E2" s="198">
        <f t="array" ref="E2">MAX(IF(Y14:Y38="남",W14:W38))</f>
        <v>244</v>
      </c>
      <c r="F2" s="268"/>
    </row>
    <row r="3" spans="2:28">
      <c r="B3" s="551"/>
      <c r="C3" s="166" t="s">
        <v>157</v>
      </c>
      <c r="D3" s="167" t="str">
        <f>VLOOKUP(E3,W15:Z38,4,0)</f>
        <v>성소라</v>
      </c>
      <c r="E3" s="198">
        <f t="array" ref="E3">MAX(IF(Y15:Y39="여",W15:W39))</f>
        <v>166</v>
      </c>
      <c r="F3" s="268"/>
    </row>
    <row r="4" spans="2:28">
      <c r="B4" s="550" t="s">
        <v>158</v>
      </c>
      <c r="C4" s="166" t="s">
        <v>156</v>
      </c>
      <c r="D4" s="167" t="str">
        <f>VLOOKUP(E4,X14:Z38,3,0)</f>
        <v>조문수</v>
      </c>
      <c r="E4" s="168">
        <f t="array" ref="E4">MAX(IF(Y14:Y38="남",X14:X38))</f>
        <v>192.33333333333334</v>
      </c>
      <c r="F4" s="268"/>
    </row>
    <row r="5" spans="2:28">
      <c r="B5" s="551"/>
      <c r="C5" s="166" t="s">
        <v>157</v>
      </c>
      <c r="D5" s="167" t="str">
        <f>VLOOKUP(E5,X15:Z39,3,0)</f>
        <v>성소라</v>
      </c>
      <c r="E5" s="168">
        <f t="array" ref="E5">MAX(IF(Y14:Y38="여",X14:X38))</f>
        <v>157.33333333333334</v>
      </c>
      <c r="F5" s="268"/>
    </row>
    <row r="6" spans="2:28" ht="16.5">
      <c r="B6" s="550" t="s">
        <v>224</v>
      </c>
      <c r="C6" s="235" t="s">
        <v>154</v>
      </c>
      <c r="D6" s="554" t="s">
        <v>359</v>
      </c>
      <c r="E6" s="472"/>
      <c r="F6" s="269"/>
    </row>
    <row r="7" spans="2:28" ht="16.5">
      <c r="B7" s="552"/>
      <c r="C7" s="235" t="s">
        <v>226</v>
      </c>
      <c r="D7" s="554"/>
      <c r="E7" s="472"/>
      <c r="F7" s="269"/>
    </row>
    <row r="8" spans="2:28" ht="16.5">
      <c r="B8" s="552"/>
      <c r="C8" s="235" t="s">
        <v>88</v>
      </c>
      <c r="D8" s="554"/>
      <c r="E8" s="498"/>
      <c r="F8" s="270"/>
    </row>
    <row r="9" spans="2:28" ht="16.5">
      <c r="B9" s="553"/>
      <c r="C9" s="235" t="s">
        <v>227</v>
      </c>
      <c r="D9" s="554" t="s">
        <v>360</v>
      </c>
      <c r="E9" s="472"/>
      <c r="F9" s="269"/>
      <c r="G9" s="386"/>
    </row>
    <row r="11" spans="2:28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545"/>
      <c r="M11" s="545"/>
      <c r="N11" s="546"/>
      <c r="O11" s="546"/>
      <c r="P11" s="496"/>
      <c r="Q11" s="547" t="s">
        <v>142</v>
      </c>
      <c r="R11" s="548" t="s">
        <v>184</v>
      </c>
      <c r="S11" s="542" t="s">
        <v>169</v>
      </c>
      <c r="T11" s="542"/>
      <c r="U11" s="542" t="s">
        <v>335</v>
      </c>
    </row>
    <row r="12" spans="2:28">
      <c r="C12" s="543"/>
      <c r="D12" s="543"/>
      <c r="E12" s="543">
        <v>1</v>
      </c>
      <c r="F12" s="543"/>
      <c r="G12" s="543"/>
      <c r="H12" s="543"/>
      <c r="I12" s="543">
        <v>2</v>
      </c>
      <c r="J12" s="543"/>
      <c r="K12" s="543"/>
      <c r="L12" s="543"/>
      <c r="M12" s="543">
        <v>3</v>
      </c>
      <c r="N12" s="543"/>
      <c r="O12" s="543"/>
      <c r="P12" s="543"/>
      <c r="Q12" s="547"/>
      <c r="R12" s="549"/>
      <c r="S12" s="542"/>
      <c r="T12" s="542"/>
      <c r="U12" s="542"/>
      <c r="AB12" s="172"/>
    </row>
    <row r="13" spans="2:28" ht="27">
      <c r="C13" s="543"/>
      <c r="D13" s="543"/>
      <c r="E13" s="385" t="s">
        <v>150</v>
      </c>
      <c r="F13" s="384" t="s">
        <v>302</v>
      </c>
      <c r="G13" s="384" t="s">
        <v>152</v>
      </c>
      <c r="H13" s="384" t="s">
        <v>153</v>
      </c>
      <c r="I13" s="385" t="s">
        <v>150</v>
      </c>
      <c r="J13" s="384" t="s">
        <v>302</v>
      </c>
      <c r="K13" s="384" t="s">
        <v>152</v>
      </c>
      <c r="L13" s="384" t="s">
        <v>153</v>
      </c>
      <c r="M13" s="385" t="s">
        <v>150</v>
      </c>
      <c r="N13" s="384" t="s">
        <v>302</v>
      </c>
      <c r="O13" s="384" t="s">
        <v>152</v>
      </c>
      <c r="P13" s="384" t="s">
        <v>153</v>
      </c>
      <c r="Q13" s="547"/>
      <c r="R13" s="549"/>
      <c r="S13" s="384" t="s">
        <v>144</v>
      </c>
      <c r="T13" s="385" t="s">
        <v>168</v>
      </c>
      <c r="U13" s="543"/>
      <c r="W13" s="172" t="s">
        <v>170</v>
      </c>
      <c r="X13" s="267" t="s">
        <v>171</v>
      </c>
    </row>
    <row r="14" spans="2:28">
      <c r="C14" s="537" t="s">
        <v>145</v>
      </c>
      <c r="D14" s="180" t="s">
        <v>8</v>
      </c>
      <c r="E14" s="273">
        <f>IFERROR(VLOOKUP(D14,'미니게임_DATA(순)'!$A$4:$EV$45,115,0),0)</f>
        <v>179</v>
      </c>
      <c r="F14" s="273"/>
      <c r="G14" s="526">
        <f>RANK(E18,($E$18,$E$23,$E$28,$E$33,E$38))</f>
        <v>1</v>
      </c>
      <c r="H14" s="526">
        <f>G14</f>
        <v>1</v>
      </c>
      <c r="I14" s="273">
        <f>IFERROR(VLOOKUP(D14,'미니게임_DATA(순)'!$A$4:$EV$45,116,0),0)</f>
        <v>244</v>
      </c>
      <c r="J14" s="273"/>
      <c r="K14" s="526">
        <f>RANK(I18,($I$18,$I$23,$I$28,$I$33,I$38))</f>
        <v>1</v>
      </c>
      <c r="L14" s="526">
        <f>RANK(AA18,($AA$18,$AA$23,$AA$28,$AA$33,$AA$38))</f>
        <v>1</v>
      </c>
      <c r="M14" s="273">
        <f>IFERROR(VLOOKUP(D14,'미니게임_DATA(순)'!$A$4:$EV$45,117,0),0)</f>
        <v>154</v>
      </c>
      <c r="N14" s="273"/>
      <c r="O14" s="526">
        <f>RANK(M18,($M$18,$M$23,$M$28,$M$33,$M$38))</f>
        <v>2</v>
      </c>
      <c r="P14" s="526">
        <f>S14</f>
        <v>1</v>
      </c>
      <c r="Q14" s="273">
        <f t="shared" ref="Q14:Q37" si="0">E14+I14+M14</f>
        <v>577</v>
      </c>
      <c r="R14" s="274">
        <f>AVERAGE(E14,I14,M14)</f>
        <v>192.33333333333334</v>
      </c>
      <c r="S14" s="529">
        <f>RANK(Q18,($Q$18,$Q$23,$Q$28,$Q$33,$Q$38))</f>
        <v>1</v>
      </c>
      <c r="T14" s="541">
        <f>MAX($Q$18,$Q$23,Q$28,Q$33,Q$38)-Q18</f>
        <v>0</v>
      </c>
      <c r="U14" s="184">
        <f>IFERROR(R14-VLOOKUP(D14,'미니게임_DATA(순)'!$A:$FB,MATCH("rct 20g avg",'미니게임_DATA(순)'!$A$3:$FB$3,0),0),0)</f>
        <v>1.7833333333333314</v>
      </c>
      <c r="W14" s="185">
        <f>MAX(E14,I14,M14)</f>
        <v>244</v>
      </c>
      <c r="X14" s="267">
        <f>R14</f>
        <v>192.33333333333334</v>
      </c>
      <c r="Y14" s="267" t="str">
        <f>VLOOKUP(Z14,'미니게임_DATA(순)'!$A$4:$C$45,3,0)</f>
        <v>남</v>
      </c>
      <c r="Z14" s="187" t="str">
        <f>D14</f>
        <v>조문수</v>
      </c>
    </row>
    <row r="15" spans="2:28">
      <c r="C15" s="538"/>
      <c r="D15" s="188" t="s">
        <v>10</v>
      </c>
      <c r="E15" s="275">
        <f>IFERROR(VLOOKUP(D15,'미니게임_DATA(순)'!$A$4:$EV$45,115,0),0)</f>
        <v>160</v>
      </c>
      <c r="F15" s="275"/>
      <c r="G15" s="527"/>
      <c r="H15" s="527"/>
      <c r="I15" s="275">
        <f>IFERROR(VLOOKUP(D15,'미니게임_DATA(순)'!$A$4:$EV$45,116,0),0)</f>
        <v>157</v>
      </c>
      <c r="J15" s="275"/>
      <c r="K15" s="527"/>
      <c r="L15" s="527"/>
      <c r="M15" s="275">
        <f>IFERROR(VLOOKUP(D15,'미니게임_DATA(순)'!$A$4:$EV$45,117,0),0)</f>
        <v>129</v>
      </c>
      <c r="N15" s="275"/>
      <c r="O15" s="527"/>
      <c r="P15" s="527"/>
      <c r="Q15" s="275">
        <f t="shared" si="0"/>
        <v>446</v>
      </c>
      <c r="R15" s="300">
        <f t="shared" ref="R15:R16" si="1">AVERAGE(E15,I15,M15)</f>
        <v>148.66666666666666</v>
      </c>
      <c r="S15" s="530"/>
      <c r="T15" s="527"/>
      <c r="U15" s="190">
        <f>IFERROR(R15-VLOOKUP(D15,'미니게임_DATA(순)'!$A:$FB,MATCH("rct 20g avg",'미니게임_DATA(순)'!$A$3:$FB$3,0),0),0)</f>
        <v>-2.2333333333333485</v>
      </c>
      <c r="W15" s="185">
        <f t="shared" ref="W15:W16" si="2">MAX(E15,I15,M15)</f>
        <v>160</v>
      </c>
      <c r="X15" s="267">
        <f t="shared" ref="X15:X16" si="3">R15</f>
        <v>148.66666666666666</v>
      </c>
      <c r="Y15" s="267" t="str">
        <f>VLOOKUP(Z15,'미니게임_DATA(순)'!$A$4:$C$45,3,0)</f>
        <v>남</v>
      </c>
      <c r="Z15" s="187" t="str">
        <f>D15</f>
        <v>김신철</v>
      </c>
    </row>
    <row r="16" spans="2:28">
      <c r="C16" s="538"/>
      <c r="D16" s="188" t="s">
        <v>282</v>
      </c>
      <c r="E16" s="275">
        <f>IFERROR(VLOOKUP(D16,'미니게임_DATA(순)'!$A$4:$EV$45,115,0),0)</f>
        <v>151</v>
      </c>
      <c r="F16" s="275"/>
      <c r="G16" s="527"/>
      <c r="H16" s="527"/>
      <c r="I16" s="275">
        <f>IFERROR(VLOOKUP(D16,'미니게임_DATA(순)'!$A$4:$EV$45,116,0),0)</f>
        <v>139</v>
      </c>
      <c r="J16" s="275"/>
      <c r="K16" s="527"/>
      <c r="L16" s="527"/>
      <c r="M16" s="275">
        <f>IFERROR(VLOOKUP(D16,'미니게임_DATA(순)'!$A$4:$EV$45,117,0),0)</f>
        <v>161</v>
      </c>
      <c r="N16" s="275"/>
      <c r="O16" s="527"/>
      <c r="P16" s="527"/>
      <c r="Q16" s="275">
        <f t="shared" si="0"/>
        <v>451</v>
      </c>
      <c r="R16" s="276">
        <f t="shared" si="1"/>
        <v>150.33333333333334</v>
      </c>
      <c r="S16" s="530"/>
      <c r="T16" s="527"/>
      <c r="U16" s="190">
        <f>IFERROR(R16-VLOOKUP(D16,'미니게임_DATA(순)'!$A:$FB,MATCH("rct 20g avg",'미니게임_DATA(순)'!$A$3:$FB$3,0),0),0)</f>
        <v>-13.416666666666657</v>
      </c>
      <c r="W16" s="185">
        <f t="shared" si="2"/>
        <v>161</v>
      </c>
      <c r="X16" s="267">
        <f t="shared" si="3"/>
        <v>150.33333333333334</v>
      </c>
      <c r="Y16" s="267" t="str">
        <f>VLOOKUP(Z16,'미니게임_DATA(순)'!$A$4:$C$45,3,0)</f>
        <v>여</v>
      </c>
      <c r="Z16" s="187" t="str">
        <f>D16</f>
        <v>손하은</v>
      </c>
    </row>
    <row r="17" spans="3:27">
      <c r="C17" s="538"/>
      <c r="D17" s="191"/>
      <c r="E17" s="279"/>
      <c r="F17" s="279"/>
      <c r="G17" s="527"/>
      <c r="H17" s="527"/>
      <c r="I17" s="279"/>
      <c r="J17" s="279"/>
      <c r="K17" s="527"/>
      <c r="L17" s="527"/>
      <c r="M17" s="279"/>
      <c r="N17" s="279"/>
      <c r="O17" s="527"/>
      <c r="P17" s="527"/>
      <c r="Q17" s="279">
        <f t="shared" si="0"/>
        <v>0</v>
      </c>
      <c r="R17" s="276">
        <f t="shared" ref="R17" si="4">Q17/3</f>
        <v>0</v>
      </c>
      <c r="S17" s="530"/>
      <c r="T17" s="527"/>
      <c r="U17" s="190">
        <f>IFERROR(R17-VLOOKUP(D17,'미니게임_DATA(순)'!$A:$FB,MATCH("rct 20g avg",'미니게임_DATA(순)'!$A$3:$FB$3,0),0),0)</f>
        <v>0</v>
      </c>
      <c r="W17" s="185"/>
      <c r="Z17" s="187"/>
    </row>
    <row r="18" spans="3:27" ht="16.5">
      <c r="C18" s="539"/>
      <c r="D18" s="383"/>
      <c r="E18" s="535">
        <f>SUMIF(E14:F17, "&gt;0")</f>
        <v>490</v>
      </c>
      <c r="F18" s="498"/>
      <c r="G18" s="528"/>
      <c r="H18" s="528"/>
      <c r="I18" s="535">
        <f>SUMIF(I14:I17, "&gt;0")</f>
        <v>540</v>
      </c>
      <c r="J18" s="498"/>
      <c r="K18" s="528"/>
      <c r="L18" s="528"/>
      <c r="M18" s="535">
        <f>SUMIF(M14:M17, "&gt;0")</f>
        <v>444</v>
      </c>
      <c r="N18" s="498"/>
      <c r="O18" s="528"/>
      <c r="P18" s="528"/>
      <c r="Q18" s="272">
        <f t="shared" si="0"/>
        <v>1474</v>
      </c>
      <c r="R18" s="196"/>
      <c r="S18" s="531"/>
      <c r="T18" s="528"/>
      <c r="U18" s="277">
        <f>IFERROR(R18-VLOOKUP(D18,'미니게임_DATA(순)'!$A:$FB,MATCH("rct 20g avg",'미니게임_DATA(순)'!$A$3:$FB$3,0),0),0)</f>
        <v>0</v>
      </c>
      <c r="V18" s="185"/>
      <c r="W18" s="185"/>
      <c r="Z18" s="187">
        <f>D18</f>
        <v>0</v>
      </c>
      <c r="AA18" s="187">
        <f>SUM(E18,I18)</f>
        <v>1030</v>
      </c>
    </row>
    <row r="19" spans="3:27">
      <c r="C19" s="537" t="s">
        <v>146</v>
      </c>
      <c r="D19" s="180" t="s">
        <v>13</v>
      </c>
      <c r="E19" s="273">
        <f>IFERROR(VLOOKUP(D19,'미니게임_DATA(순)'!$A$4:$EV$45,115,0),0)</f>
        <v>205</v>
      </c>
      <c r="F19" s="273"/>
      <c r="G19" s="526">
        <f>RANK(E23,($E$18,$E$23,$E$28,$E$33,E$38))</f>
        <v>2</v>
      </c>
      <c r="H19" s="526">
        <f t="shared" ref="H19" si="5">G19</f>
        <v>2</v>
      </c>
      <c r="I19" s="273">
        <f>IFERROR(VLOOKUP(D19,'미니게임_DATA(순)'!$A$4:$EV$45,116,0),0)</f>
        <v>138</v>
      </c>
      <c r="J19" s="273"/>
      <c r="K19" s="526">
        <f>RANK(I23,($I$18,$I$23,$I$28,$I$33,I$38))</f>
        <v>4</v>
      </c>
      <c r="L19" s="526">
        <f>RANK(AA23,($AA$18,$AA$23,$AA$28,$AA$33,$AA$38))</f>
        <v>4</v>
      </c>
      <c r="M19" s="273">
        <f>IFERROR(VLOOKUP(D19,'미니게임_DATA(순)'!$A$4:$EV$45,117,0),0)</f>
        <v>140</v>
      </c>
      <c r="N19" s="273"/>
      <c r="O19" s="526">
        <f>RANK(M23,($M$18,$M$23,$M$28,$M$33,$M$38))</f>
        <v>5</v>
      </c>
      <c r="P19" s="526">
        <f t="shared" ref="P19" si="6">S19</f>
        <v>4</v>
      </c>
      <c r="Q19" s="273">
        <f t="shared" si="0"/>
        <v>483</v>
      </c>
      <c r="R19" s="274">
        <f>AVERAGE(E19,I19,M19)</f>
        <v>161</v>
      </c>
      <c r="S19" s="529">
        <f>RANK(Q23,($Q$18,$Q$23,$Q$28,$Q$33,$Q$38))</f>
        <v>4</v>
      </c>
      <c r="T19" s="532">
        <f>MAX($Q$18,$Q$23,Q$28,Q$33,Q$38)-Q23</f>
        <v>176</v>
      </c>
      <c r="U19" s="184">
        <f>IFERROR(R19-VLOOKUP(D19,'미니게임_DATA(순)'!$A:$FB,MATCH("rct 20g avg",'미니게임_DATA(순)'!$A$3:$FB$3,0),0),0)</f>
        <v>3.9000000000000057</v>
      </c>
      <c r="W19" s="185">
        <f>MAX(E19,I19,M19)</f>
        <v>205</v>
      </c>
      <c r="X19" s="267">
        <f>R19</f>
        <v>161</v>
      </c>
      <c r="Y19" s="267" t="str">
        <f>VLOOKUP(Z19,'미니게임_DATA(순)'!$A$4:$C$45,3,0)</f>
        <v>남</v>
      </c>
      <c r="Z19" s="187" t="str">
        <f>D19</f>
        <v>정동현</v>
      </c>
    </row>
    <row r="20" spans="3:27">
      <c r="C20" s="538"/>
      <c r="D20" s="188" t="s">
        <v>16</v>
      </c>
      <c r="E20" s="275">
        <f>IFERROR(VLOOKUP(D20,'미니게임_DATA(순)'!$A$4:$EV$45,115,0),0)</f>
        <v>160</v>
      </c>
      <c r="F20" s="275"/>
      <c r="G20" s="527"/>
      <c r="H20" s="527"/>
      <c r="I20" s="275">
        <f>IFERROR(VLOOKUP(D20,'미니게임_DATA(순)'!$A$4:$EV$45,116,0),0)</f>
        <v>141</v>
      </c>
      <c r="J20" s="275"/>
      <c r="K20" s="527"/>
      <c r="L20" s="527"/>
      <c r="M20" s="275">
        <f>IFERROR(VLOOKUP(D20,'미니게임_DATA(순)'!$A$4:$EV$45,117,0),0)</f>
        <v>148</v>
      </c>
      <c r="N20" s="275"/>
      <c r="O20" s="527"/>
      <c r="P20" s="527"/>
      <c r="Q20" s="275">
        <f t="shared" si="0"/>
        <v>449</v>
      </c>
      <c r="R20" s="300">
        <f t="shared" ref="R20:R21" si="7">AVERAGE(E20,I20,M20)</f>
        <v>149.66666666666666</v>
      </c>
      <c r="S20" s="530"/>
      <c r="T20" s="533"/>
      <c r="U20" s="190">
        <f>IFERROR(R20-VLOOKUP(D20,'미니게임_DATA(순)'!$A:$FB,MATCH("rct 20g avg",'미니게임_DATA(순)'!$A$3:$FB$3,0),0),0)</f>
        <v>-6.8333333333333428</v>
      </c>
      <c r="W20" s="185">
        <f t="shared" ref="W20:W21" si="8">MAX(E20,I20,M20)</f>
        <v>160</v>
      </c>
      <c r="X20" s="267">
        <f>R20</f>
        <v>149.66666666666666</v>
      </c>
      <c r="Y20" s="267" t="str">
        <f>VLOOKUP(Z20,'미니게임_DATA(순)'!$A$4:$C$45,3,0)</f>
        <v>남</v>
      </c>
      <c r="Z20" s="187" t="str">
        <f>D20</f>
        <v>전병기</v>
      </c>
    </row>
    <row r="21" spans="3:27">
      <c r="C21" s="538"/>
      <c r="D21" s="188" t="s">
        <v>17</v>
      </c>
      <c r="E21" s="275">
        <f>IFERROR(VLOOKUP(D21,'미니게임_DATA(순)'!$A$4:$EV$45,115,0),0)</f>
        <v>115</v>
      </c>
      <c r="F21" s="275"/>
      <c r="G21" s="527"/>
      <c r="H21" s="527"/>
      <c r="I21" s="275">
        <f>IFERROR(VLOOKUP(D21,'미니게임_DATA(순)'!$A$4:$EV$45,116,0),0)</f>
        <v>111</v>
      </c>
      <c r="J21" s="275"/>
      <c r="K21" s="527"/>
      <c r="L21" s="527"/>
      <c r="M21" s="275">
        <f>IFERROR(VLOOKUP(D21,'미니게임_DATA(순)'!$A$4:$EV$45,117,0),0)</f>
        <v>140</v>
      </c>
      <c r="N21" s="275"/>
      <c r="O21" s="527"/>
      <c r="P21" s="527"/>
      <c r="Q21" s="275">
        <f t="shared" si="0"/>
        <v>366</v>
      </c>
      <c r="R21" s="276">
        <f t="shared" si="7"/>
        <v>122</v>
      </c>
      <c r="S21" s="530"/>
      <c r="T21" s="533"/>
      <c r="U21" s="190">
        <f>IFERROR(R21-VLOOKUP(D21,'미니게임_DATA(순)'!$A:$FB,MATCH("rct 20g avg",'미니게임_DATA(순)'!$A$3:$FB$3,0),0),0)</f>
        <v>-27.349999999999994</v>
      </c>
      <c r="W21" s="185">
        <f t="shared" si="8"/>
        <v>140</v>
      </c>
      <c r="X21" s="267">
        <f>R21</f>
        <v>122</v>
      </c>
      <c r="Y21" s="267" t="str">
        <f>VLOOKUP(Z21,'미니게임_DATA(순)'!$A$4:$C$45,3,0)</f>
        <v>남</v>
      </c>
      <c r="Z21" s="187" t="str">
        <f>D21</f>
        <v>한희용</v>
      </c>
    </row>
    <row r="22" spans="3:27">
      <c r="C22" s="538"/>
      <c r="D22" s="188"/>
      <c r="E22" s="279"/>
      <c r="F22" s="279"/>
      <c r="G22" s="527"/>
      <c r="H22" s="527"/>
      <c r="I22" s="279"/>
      <c r="J22" s="279"/>
      <c r="K22" s="527"/>
      <c r="L22" s="527"/>
      <c r="M22" s="279"/>
      <c r="N22" s="279"/>
      <c r="O22" s="527"/>
      <c r="P22" s="527"/>
      <c r="Q22" s="279">
        <f t="shared" si="0"/>
        <v>0</v>
      </c>
      <c r="R22" s="276">
        <f t="shared" ref="R22" si="9">Q22/3</f>
        <v>0</v>
      </c>
      <c r="S22" s="530"/>
      <c r="T22" s="533"/>
      <c r="U22" s="190">
        <f>IFERROR(R22-VLOOKUP(D22,'미니게임_DATA(순)'!$A:$FB,MATCH("rct 20g avg",'미니게임_DATA(순)'!$A$3:$FB$3,0),0),0)</f>
        <v>0</v>
      </c>
      <c r="W22" s="185"/>
      <c r="Z22" s="187"/>
    </row>
    <row r="23" spans="3:27" ht="16.5">
      <c r="C23" s="539"/>
      <c r="D23" s="383"/>
      <c r="E23" s="535">
        <f>SUMIF(E19:F22, "&gt;0")</f>
        <v>480</v>
      </c>
      <c r="F23" s="498"/>
      <c r="G23" s="528"/>
      <c r="H23" s="528"/>
      <c r="I23" s="535">
        <f>SUMIF(I19:J22, "&gt;0")</f>
        <v>390</v>
      </c>
      <c r="J23" s="498"/>
      <c r="K23" s="528"/>
      <c r="L23" s="528"/>
      <c r="M23" s="535">
        <f>SUMIF(M19:N22, "&gt;0")</f>
        <v>428</v>
      </c>
      <c r="N23" s="498"/>
      <c r="O23" s="528"/>
      <c r="P23" s="528"/>
      <c r="Q23" s="272">
        <f t="shared" si="0"/>
        <v>1298</v>
      </c>
      <c r="R23" s="196"/>
      <c r="S23" s="531"/>
      <c r="T23" s="534"/>
      <c r="U23" s="277">
        <f>IFERROR(R23-VLOOKUP(D23,'미니게임_DATA(순)'!$A:$FB,MATCH("rct 20g avg",'미니게임_DATA(순)'!$A$3:$FB$3,0),0),0)</f>
        <v>0</v>
      </c>
      <c r="V23" s="185"/>
      <c r="W23" s="185"/>
      <c r="Z23" s="187">
        <f t="shared" ref="Z23:Z32" si="10">D23</f>
        <v>0</v>
      </c>
      <c r="AA23" s="187">
        <f>SUM(E23,I23)</f>
        <v>870</v>
      </c>
    </row>
    <row r="24" spans="3:27">
      <c r="C24" s="537" t="s">
        <v>147</v>
      </c>
      <c r="D24" s="180" t="s">
        <v>37</v>
      </c>
      <c r="E24" s="273">
        <f>IFERROR(VLOOKUP(D24,'미니게임_DATA(순)'!$A$4:$EV$45,115,0),0)</f>
        <v>134</v>
      </c>
      <c r="F24" s="273"/>
      <c r="G24" s="526">
        <f>RANK(E28,($E$18,$E$23,$E$28,$E$33,E$38))</f>
        <v>4</v>
      </c>
      <c r="H24" s="526">
        <f t="shared" ref="H24" si="11">G24</f>
        <v>4</v>
      </c>
      <c r="I24" s="273">
        <f>IFERROR(VLOOKUP(D24,'미니게임_DATA(순)'!$A$4:$EV$45,116,0),0)</f>
        <v>214</v>
      </c>
      <c r="J24" s="273"/>
      <c r="K24" s="526">
        <f>RANK(I28,($I$18,$I$23,$I$28,$I$33,I$38))</f>
        <v>2</v>
      </c>
      <c r="L24" s="526">
        <f>RANK(AA28,($AA$18,$AA$23,$AA$28,$AA$33,$AA$38))</f>
        <v>2</v>
      </c>
      <c r="M24" s="273">
        <f>IFERROR(VLOOKUP(D24,'미니게임_DATA(순)'!$A$4:$EV$45,117,0),0)</f>
        <v>137</v>
      </c>
      <c r="N24" s="273"/>
      <c r="O24" s="526">
        <f>RANK(M28,($M$18,$M$23,$M$28,$M$33,$M$38))</f>
        <v>1</v>
      </c>
      <c r="P24" s="526">
        <f t="shared" ref="P24" si="12">S24</f>
        <v>2</v>
      </c>
      <c r="Q24" s="273">
        <f t="shared" si="0"/>
        <v>485</v>
      </c>
      <c r="R24" s="274">
        <f>AVERAGE(E24,I24,M24)</f>
        <v>161.66666666666666</v>
      </c>
      <c r="S24" s="529">
        <f>RANK(Q28,($Q$18,$Q$23,$Q$28,$Q$33,$Q$38))</f>
        <v>2</v>
      </c>
      <c r="T24" s="532">
        <f>MAX($Q$18,$Q$23,Q$28,Q$33,Q$38)-Q28</f>
        <v>43</v>
      </c>
      <c r="U24" s="184">
        <f>IFERROR(R24-VLOOKUP(D24,'미니게임_DATA(순)'!$A:$FB,MATCH("rct 20g avg",'미니게임_DATA(순)'!$A$3:$FB$3,0),0),0)</f>
        <v>-5.4333333333333371</v>
      </c>
      <c r="W24" s="185">
        <f t="shared" ref="W24:W27" si="13">MAX(E24,I24,M24)</f>
        <v>214</v>
      </c>
      <c r="X24" s="267">
        <f>R24</f>
        <v>161.66666666666666</v>
      </c>
      <c r="Y24" s="267" t="str">
        <f>VLOOKUP(Z24,'미니게임_DATA(순)'!$A$4:$C$45,3,0)</f>
        <v>남</v>
      </c>
      <c r="Z24" s="187" t="str">
        <f t="shared" si="10"/>
        <v>최은규</v>
      </c>
    </row>
    <row r="25" spans="3:27">
      <c r="C25" s="538"/>
      <c r="D25" s="188" t="s">
        <v>11</v>
      </c>
      <c r="E25" s="275">
        <f>IFERROR(VLOOKUP(D25,'미니게임_DATA(순)'!$A$4:$EV$45,115,0),0)</f>
        <v>147</v>
      </c>
      <c r="F25" s="275"/>
      <c r="G25" s="527"/>
      <c r="H25" s="527"/>
      <c r="I25" s="275">
        <f>IFERROR(VLOOKUP(D25,'미니게임_DATA(순)'!$A$4:$EV$45,116,0),0)</f>
        <v>156</v>
      </c>
      <c r="J25" s="275"/>
      <c r="K25" s="527"/>
      <c r="L25" s="527"/>
      <c r="M25" s="275">
        <f>IFERROR(VLOOKUP(D25,'미니게임_DATA(순)'!$A$4:$EV$45,117,0),0)</f>
        <v>176</v>
      </c>
      <c r="N25" s="275"/>
      <c r="O25" s="527"/>
      <c r="P25" s="527"/>
      <c r="Q25" s="275">
        <f t="shared" si="0"/>
        <v>479</v>
      </c>
      <c r="R25" s="300">
        <f t="shared" ref="R25:R26" si="14">AVERAGE(E25,I25,M25)</f>
        <v>159.66666666666666</v>
      </c>
      <c r="S25" s="530"/>
      <c r="T25" s="533"/>
      <c r="U25" s="190">
        <f>IFERROR(R25-VLOOKUP(D25,'미니게임_DATA(순)'!$A:$FB,MATCH("rct 20g avg",'미니게임_DATA(순)'!$A$3:$FB$3,0),0),0)</f>
        <v>1.5166666666666515</v>
      </c>
      <c r="W25" s="185">
        <f t="shared" si="13"/>
        <v>176</v>
      </c>
      <c r="X25" s="267">
        <f>R25</f>
        <v>159.66666666666666</v>
      </c>
      <c r="Y25" s="267" t="str">
        <f>VLOOKUP(Z25,'미니게임_DATA(순)'!$A$4:$C$45,3,0)</f>
        <v>남</v>
      </c>
      <c r="Z25" s="187" t="str">
        <f t="shared" si="10"/>
        <v>박용승</v>
      </c>
    </row>
    <row r="26" spans="3:27">
      <c r="C26" s="538"/>
      <c r="D26" s="188" t="s">
        <v>281</v>
      </c>
      <c r="E26" s="275">
        <f>IFERROR(VLOOKUP(D26,'미니게임_DATA(순)'!$A$4:$EV$45,115,0),0)</f>
        <v>139</v>
      </c>
      <c r="F26" s="275">
        <v>5</v>
      </c>
      <c r="G26" s="527"/>
      <c r="H26" s="527"/>
      <c r="I26" s="275">
        <f>IFERROR(VLOOKUP(D26,'미니게임_DATA(순)'!$A$4:$EV$45,116,0),0)</f>
        <v>160</v>
      </c>
      <c r="J26" s="275">
        <v>5</v>
      </c>
      <c r="K26" s="527"/>
      <c r="L26" s="527"/>
      <c r="M26" s="275">
        <f>IFERROR(VLOOKUP(D26,'미니게임_DATA(순)'!$A$4:$EV$45,117,0),0)</f>
        <v>153</v>
      </c>
      <c r="N26" s="275">
        <v>5</v>
      </c>
      <c r="O26" s="527"/>
      <c r="P26" s="527"/>
      <c r="Q26" s="275">
        <f t="shared" si="0"/>
        <v>452</v>
      </c>
      <c r="R26" s="276">
        <f t="shared" si="14"/>
        <v>150.66666666666666</v>
      </c>
      <c r="S26" s="530"/>
      <c r="T26" s="533"/>
      <c r="U26" s="190">
        <f>IFERROR(R26-VLOOKUP(D26,'미니게임_DATA(순)'!$A:$FB,MATCH("rct 20g avg",'미니게임_DATA(순)'!$A$3:$FB$3,0),0),0)</f>
        <v>-9.9833333333333485</v>
      </c>
      <c r="W26" s="185">
        <f t="shared" si="13"/>
        <v>160</v>
      </c>
      <c r="X26" s="267">
        <f>R26</f>
        <v>150.66666666666666</v>
      </c>
      <c r="Y26" s="267" t="str">
        <f>VLOOKUP(Z26,'미니게임_DATA(순)'!$A$4:$C$45,3,0)</f>
        <v>여</v>
      </c>
      <c r="Z26" s="187" t="str">
        <f t="shared" si="10"/>
        <v>오수인</v>
      </c>
    </row>
    <row r="27" spans="3:27">
      <c r="C27" s="538"/>
      <c r="D27" s="191"/>
      <c r="E27" s="302">
        <f>IFERROR(VLOOKUP(D27,'미니게임_DATA(순)'!$A$4:$EV$45,111,0),0)</f>
        <v>0</v>
      </c>
      <c r="F27" s="279"/>
      <c r="G27" s="527"/>
      <c r="H27" s="527"/>
      <c r="I27" s="302">
        <f>IFERROR(VLOOKUP(D27,'미니게임_DATA(순)'!$A$4:$EV$45,112,0),0)</f>
        <v>0</v>
      </c>
      <c r="J27" s="279"/>
      <c r="K27" s="527"/>
      <c r="L27" s="527"/>
      <c r="M27" s="302">
        <f>IFERROR(VLOOKUP(D27,'미니게임_DATA(순)'!$A$4:$EV$45,113,0),0)</f>
        <v>0</v>
      </c>
      <c r="N27" s="279"/>
      <c r="O27" s="527"/>
      <c r="P27" s="527"/>
      <c r="Q27" s="279">
        <f t="shared" si="0"/>
        <v>0</v>
      </c>
      <c r="R27" s="276">
        <f t="shared" ref="R27" si="15">Q27/3</f>
        <v>0</v>
      </c>
      <c r="S27" s="530"/>
      <c r="T27" s="533"/>
      <c r="U27" s="190">
        <f>IFERROR(R27-VLOOKUP(D27,'미니게임_DATA(순)'!$A:$FB,MATCH("rct 20g avg",'미니게임_DATA(순)'!$A$3:$FB$3,0),0),0)</f>
        <v>0</v>
      </c>
      <c r="W27" s="185">
        <f t="shared" si="13"/>
        <v>0</v>
      </c>
      <c r="X27" s="267">
        <f>R27</f>
        <v>0</v>
      </c>
      <c r="Y27" s="388" t="s">
        <v>239</v>
      </c>
      <c r="Z27" s="187">
        <f t="shared" si="10"/>
        <v>0</v>
      </c>
    </row>
    <row r="28" spans="3:27" ht="16.5">
      <c r="C28" s="539"/>
      <c r="D28" s="383"/>
      <c r="E28" s="535">
        <f>SUMIF(E24:F26, "&gt;0")</f>
        <v>425</v>
      </c>
      <c r="F28" s="498"/>
      <c r="G28" s="528"/>
      <c r="H28" s="528"/>
      <c r="I28" s="535">
        <f>SUMIF(I24:J26, "&gt;0")</f>
        <v>535</v>
      </c>
      <c r="J28" s="498"/>
      <c r="K28" s="528"/>
      <c r="L28" s="528"/>
      <c r="M28" s="535">
        <f>SUMIF(M24:N26, "&gt;0")</f>
        <v>471</v>
      </c>
      <c r="N28" s="498"/>
      <c r="O28" s="528"/>
      <c r="P28" s="528"/>
      <c r="Q28" s="272">
        <f t="shared" si="0"/>
        <v>1431</v>
      </c>
      <c r="R28" s="196"/>
      <c r="S28" s="531"/>
      <c r="T28" s="534"/>
      <c r="U28" s="277">
        <f>IFERROR(R28-VLOOKUP(D28,'미니게임_DATA(순)'!$A:$FB,MATCH("rct 20g avg",'미니게임_DATA(순)'!$A$3:$FB$3,0),0),0)</f>
        <v>0</v>
      </c>
      <c r="V28" s="185"/>
      <c r="W28" s="185"/>
      <c r="Z28" s="187">
        <f t="shared" si="10"/>
        <v>0</v>
      </c>
      <c r="AA28" s="187">
        <f>SUM(E28,I28)</f>
        <v>960</v>
      </c>
    </row>
    <row r="29" spans="3:27">
      <c r="C29" s="537" t="s">
        <v>148</v>
      </c>
      <c r="D29" s="180" t="s">
        <v>9</v>
      </c>
      <c r="E29" s="273">
        <f>IFERROR(VLOOKUP(D29,'미니게임_DATA(순)'!$A$4:$EV$45,115,0),0)</f>
        <v>126</v>
      </c>
      <c r="F29" s="273"/>
      <c r="G29" s="526">
        <f>RANK(E33,($E$18,$E$23,$E$28,$E$33,$E$38))</f>
        <v>3</v>
      </c>
      <c r="H29" s="526">
        <f t="shared" ref="H29" si="16">G29</f>
        <v>3</v>
      </c>
      <c r="I29" s="273">
        <f>IFERROR(VLOOKUP(D29,'미니게임_DATA(순)'!$A$4:$EV$45,116,0),0)</f>
        <v>149</v>
      </c>
      <c r="J29" s="273"/>
      <c r="K29" s="526">
        <f>RANK(I33,($I$18,$I$23,$I$28,$I$33,I$38))</f>
        <v>3</v>
      </c>
      <c r="L29" s="526">
        <f>RANK(AA33,($AA$18,$AA$23,$AA$28,$AA$33,$AA$38))</f>
        <v>3</v>
      </c>
      <c r="M29" s="273">
        <f>IFERROR(VLOOKUP(D29,'미니게임_DATA(순)'!$A$4:$EV$45,117,0),0)</f>
        <v>144</v>
      </c>
      <c r="N29" s="273"/>
      <c r="O29" s="526">
        <f>RANK(M33,($M$18,$M$23,$M$28,$M$33,$M$38))</f>
        <v>3</v>
      </c>
      <c r="P29" s="526">
        <f t="shared" ref="P29" si="17">S29</f>
        <v>3</v>
      </c>
      <c r="Q29" s="273">
        <f t="shared" si="0"/>
        <v>419</v>
      </c>
      <c r="R29" s="274">
        <f>AVERAGE(E29,I29,M29)</f>
        <v>139.66666666666666</v>
      </c>
      <c r="S29" s="529">
        <f>RANK(Q33,($Q$18,$Q$23,$Q$28,$Q$33,$Q$38))</f>
        <v>3</v>
      </c>
      <c r="T29" s="532">
        <f>MAX($Q$18,$Q$23,Q$28,Q$33,Q$38)-Q33</f>
        <v>118</v>
      </c>
      <c r="U29" s="184">
        <f>IFERROR(R29-VLOOKUP(D29,'미니게임_DATA(순)'!$A:$FB,MATCH("rct 20g avg",'미니게임_DATA(순)'!$A$3:$FB$3,0),0),0)</f>
        <v>-17.533333333333331</v>
      </c>
      <c r="W29" s="185">
        <f t="shared" ref="W29:W30" si="18">MAX(E29,I29,M29)</f>
        <v>149</v>
      </c>
      <c r="X29" s="267">
        <f>R29</f>
        <v>139.66666666666666</v>
      </c>
      <c r="Y29" s="267" t="str">
        <f>IFERROR(VLOOKUP(Z29,'미니게임_DATA(순)'!$A$4:$C$45,3,0),"-")</f>
        <v>남</v>
      </c>
      <c r="Z29" s="187" t="str">
        <f t="shared" si="10"/>
        <v>백동민</v>
      </c>
    </row>
    <row r="30" spans="3:27">
      <c r="C30" s="538"/>
      <c r="D30" s="188" t="s">
        <v>12</v>
      </c>
      <c r="E30" s="275">
        <f>IFERROR(VLOOKUP(D30,'미니게임_DATA(순)'!$A$4:$EV$45,115,0),0)</f>
        <v>163</v>
      </c>
      <c r="F30" s="275"/>
      <c r="G30" s="527"/>
      <c r="H30" s="527"/>
      <c r="I30" s="275">
        <f>IFERROR(VLOOKUP(D30,'미니게임_DATA(순)'!$A$4:$EV$45,116,0),0)</f>
        <v>166</v>
      </c>
      <c r="J30" s="275"/>
      <c r="K30" s="527"/>
      <c r="L30" s="527"/>
      <c r="M30" s="275">
        <f>IFERROR(VLOOKUP(D30,'미니게임_DATA(순)'!$A$4:$EV$45,117,0),0)</f>
        <v>143</v>
      </c>
      <c r="N30" s="275"/>
      <c r="O30" s="527"/>
      <c r="P30" s="527"/>
      <c r="Q30" s="275">
        <f t="shared" si="0"/>
        <v>472</v>
      </c>
      <c r="R30" s="300">
        <f t="shared" ref="R30" si="19">AVERAGE(E30,I30,M30)</f>
        <v>157.33333333333334</v>
      </c>
      <c r="S30" s="530"/>
      <c r="T30" s="533"/>
      <c r="U30" s="190">
        <f>IFERROR(R30-VLOOKUP(D30,'미니게임_DATA(순)'!$A:$FB,MATCH("rct 20g avg",'미니게임_DATA(순)'!$A$3:$FB$3,0),0),0)</f>
        <v>7.7333333333333485</v>
      </c>
      <c r="W30" s="185">
        <f t="shared" si="18"/>
        <v>166</v>
      </c>
      <c r="X30" s="267">
        <f>R30</f>
        <v>157.33333333333334</v>
      </c>
      <c r="Y30" s="267" t="str">
        <f>IFERROR(VLOOKUP(Z30,'미니게임_DATA(순)'!$A$4:$C$45,3,0),"-")</f>
        <v>여</v>
      </c>
      <c r="Z30" s="187" t="str">
        <f t="shared" si="10"/>
        <v>성소라</v>
      </c>
    </row>
    <row r="31" spans="3:27">
      <c r="C31" s="538"/>
      <c r="D31" s="342" t="s">
        <v>221</v>
      </c>
      <c r="E31" s="279">
        <v>155</v>
      </c>
      <c r="F31" s="275"/>
      <c r="G31" s="527"/>
      <c r="H31" s="527"/>
      <c r="I31" s="279">
        <v>155</v>
      </c>
      <c r="J31" s="275"/>
      <c r="K31" s="527"/>
      <c r="L31" s="527"/>
      <c r="M31" s="279">
        <v>155</v>
      </c>
      <c r="N31" s="275"/>
      <c r="O31" s="527"/>
      <c r="P31" s="527"/>
      <c r="Q31" s="275">
        <f t="shared" si="0"/>
        <v>465</v>
      </c>
      <c r="R31" s="276">
        <f t="shared" ref="R31:R32" si="20">Q31/3</f>
        <v>155</v>
      </c>
      <c r="S31" s="530"/>
      <c r="T31" s="533"/>
      <c r="U31" s="190">
        <f>IFERROR(R31-VLOOKUP(D31,'미니게임_DATA(순)'!$A:$FB,MATCH("rct 20g avg",'미니게임_DATA(순)'!$A$3:$FB$3,0),0),0)</f>
        <v>0</v>
      </c>
      <c r="W31" s="185"/>
      <c r="X31" s="267">
        <f>R31</f>
        <v>155</v>
      </c>
      <c r="Y31" s="267" t="str">
        <f>IFERROR(VLOOKUP(Z31,'미니게임_DATA(순)'!$A$4:$C$45,3,0),"-")</f>
        <v>-</v>
      </c>
      <c r="Z31" s="187" t="str">
        <f t="shared" si="10"/>
        <v>동수</v>
      </c>
    </row>
    <row r="32" spans="3:27">
      <c r="C32" s="538"/>
      <c r="D32" s="188" t="s">
        <v>339</v>
      </c>
      <c r="E32" s="387">
        <f>IFERROR(VLOOKUP(D32,'미니게임_DATA(순)'!$A$4:$EV$45,115,0),0)</f>
        <v>102</v>
      </c>
      <c r="F32" s="279"/>
      <c r="G32" s="527"/>
      <c r="H32" s="527"/>
      <c r="I32" s="387">
        <f>IFERROR(VLOOKUP(D32,'미니게임_DATA(순)'!$A$4:$EV$45,116,0),0)</f>
        <v>88</v>
      </c>
      <c r="J32" s="279"/>
      <c r="K32" s="527"/>
      <c r="L32" s="527"/>
      <c r="M32" s="387">
        <f>IFERROR(VLOOKUP(D32,'미니게임_DATA(순)'!$A$4:$EV$45,117,0),0)</f>
        <v>95</v>
      </c>
      <c r="N32" s="279"/>
      <c r="O32" s="527"/>
      <c r="P32" s="527"/>
      <c r="Q32" s="279">
        <f t="shared" si="0"/>
        <v>285</v>
      </c>
      <c r="R32" s="276">
        <f t="shared" si="20"/>
        <v>95</v>
      </c>
      <c r="S32" s="530"/>
      <c r="T32" s="533"/>
      <c r="U32" s="190">
        <f>IFERROR(R32-VLOOKUP(D32,'미니게임_DATA(순)'!$A:$FB,MATCH("rct 20g avg",'미니게임_DATA(순)'!$A$3:$FB$3,0),0),0)</f>
        <v>-23.555555555555557</v>
      </c>
      <c r="W32" s="185"/>
      <c r="Y32" s="267" t="str">
        <f>IFERROR(VLOOKUP(Z32,'미니게임_DATA(순)'!$A$4:$C$45,3,0),"-")</f>
        <v>남</v>
      </c>
      <c r="Z32" s="187" t="str">
        <f t="shared" si="10"/>
        <v>심재국</v>
      </c>
    </row>
    <row r="33" spans="2:28" ht="16.5">
      <c r="C33" s="539"/>
      <c r="D33" s="383"/>
      <c r="E33" s="535">
        <f>SUMIF(E29:F31, "&gt;0")</f>
        <v>444</v>
      </c>
      <c r="F33" s="498"/>
      <c r="G33" s="528"/>
      <c r="H33" s="528"/>
      <c r="I33" s="535">
        <f>SUMIF(I29:J31, "&gt;0")</f>
        <v>470</v>
      </c>
      <c r="J33" s="498"/>
      <c r="K33" s="528"/>
      <c r="L33" s="528"/>
      <c r="M33" s="535">
        <f>SUMIF(M29:N31, "&gt;0")</f>
        <v>442</v>
      </c>
      <c r="N33" s="536"/>
      <c r="O33" s="528"/>
      <c r="P33" s="528"/>
      <c r="Q33" s="272">
        <f t="shared" si="0"/>
        <v>1356</v>
      </c>
      <c r="R33" s="196"/>
      <c r="S33" s="531"/>
      <c r="T33" s="534"/>
      <c r="U33" s="277">
        <f>IFERROR(R33-VLOOKUP(D33,'미니게임_DATA(순)'!$A:$FB,MATCH("rct 20g avg",'미니게임_DATA(순)'!$A$3:$FB$3,0),0),0)</f>
        <v>0</v>
      </c>
      <c r="V33" s="185"/>
      <c r="W33" s="185"/>
      <c r="Y33" s="267" t="str">
        <f>IFERROR(VLOOKUP(Z33,'미니게임_DATA(순)'!$A$4:$C$45,3,0),"-")</f>
        <v>-</v>
      </c>
      <c r="Z33" s="187">
        <f>D33</f>
        <v>0</v>
      </c>
      <c r="AA33" s="187">
        <f>SUM(E33,I33)</f>
        <v>914</v>
      </c>
    </row>
    <row r="34" spans="2:28">
      <c r="C34" s="537" t="s">
        <v>149</v>
      </c>
      <c r="D34" s="180" t="s">
        <v>38</v>
      </c>
      <c r="E34" s="273">
        <f>IFERROR(VLOOKUP(D34,'미니게임_DATA(순)'!$A$4:$EV$45,115,0),0)</f>
        <v>118</v>
      </c>
      <c r="F34" s="273"/>
      <c r="G34" s="526">
        <f>RANK(E38,($E$18,$E$23,$E$28,$E$33,$E$38))</f>
        <v>5</v>
      </c>
      <c r="H34" s="526">
        <f t="shared" ref="H34" si="21">G34</f>
        <v>5</v>
      </c>
      <c r="I34" s="273">
        <f>IFERROR(VLOOKUP(D34,'미니게임_DATA(순)'!$A$4:$EV$45,116,0),0)</f>
        <v>125</v>
      </c>
      <c r="J34" s="273"/>
      <c r="K34" s="526">
        <f>RANK(I38,($I$18,$I$23,$I$28,$I$33,I$38))</f>
        <v>5</v>
      </c>
      <c r="L34" s="526">
        <f>RANK(AA38,($AA$18,$AA$23,$AA$28,$AA$33,$AA$38))</f>
        <v>5</v>
      </c>
      <c r="M34" s="273">
        <f>IFERROR(VLOOKUP(D34,'미니게임_DATA(순)'!$A$4:$EV$45,117,0),0)</f>
        <v>157</v>
      </c>
      <c r="N34" s="273"/>
      <c r="O34" s="526">
        <f>RANK(M38,($M$18,$M$23,$M$28,$M$33,$M$38))</f>
        <v>4</v>
      </c>
      <c r="P34" s="526">
        <f t="shared" ref="P34" si="22">S34</f>
        <v>5</v>
      </c>
      <c r="Q34" s="273">
        <f t="shared" si="0"/>
        <v>400</v>
      </c>
      <c r="R34" s="274">
        <f>AVERAGE(E34,I34,M34)</f>
        <v>133.33333333333334</v>
      </c>
      <c r="S34" s="529">
        <f>RANK(Q38,($Q$18,$Q$23,$Q$28,$Q$33,$Q$38))</f>
        <v>5</v>
      </c>
      <c r="T34" s="532">
        <f>MAX($Q$18,$Q$23,Q$28,Q$33,Q$38)-Q38</f>
        <v>273</v>
      </c>
      <c r="U34" s="184">
        <f>IFERROR(R34-VLOOKUP(D34,'미니게임_DATA(순)'!$A:$FB,MATCH("rct 20g avg",'미니게임_DATA(순)'!$A$3:$FB$3,0),0),0)</f>
        <v>-25.016666666666652</v>
      </c>
      <c r="W34" s="185">
        <f t="shared" ref="W34:W36" si="23">MAX(E34,I34,M34)</f>
        <v>157</v>
      </c>
      <c r="X34" s="267">
        <f>R34</f>
        <v>133.33333333333334</v>
      </c>
      <c r="Y34" s="267" t="str">
        <f>IFERROR(VLOOKUP(Z34,'미니게임_DATA(순)'!$A$4:$C$45,3,0),"-")</f>
        <v>남</v>
      </c>
      <c r="Z34" s="187" t="str">
        <f>D34</f>
        <v>이수용</v>
      </c>
    </row>
    <row r="35" spans="2:28" s="172" customFormat="1">
      <c r="B35" s="169"/>
      <c r="C35" s="538"/>
      <c r="D35" s="188" t="s">
        <v>32</v>
      </c>
      <c r="E35" s="275">
        <f>IFERROR(VLOOKUP(D35,'미니게임_DATA(순)'!$A$4:$EV$45,115,0),0)</f>
        <v>126</v>
      </c>
      <c r="F35" s="275"/>
      <c r="G35" s="527"/>
      <c r="H35" s="527"/>
      <c r="I35" s="275">
        <f>IFERROR(VLOOKUP(D35,'미니게임_DATA(순)'!$A$4:$EV$45,116,0),0)</f>
        <v>106</v>
      </c>
      <c r="J35" s="275"/>
      <c r="K35" s="527"/>
      <c r="L35" s="527"/>
      <c r="M35" s="275">
        <f>IFERROR(VLOOKUP(D35,'미니게임_DATA(순)'!$A$4:$EV$45,117,0),0)</f>
        <v>134</v>
      </c>
      <c r="N35" s="275"/>
      <c r="O35" s="527"/>
      <c r="P35" s="527"/>
      <c r="Q35" s="275">
        <f t="shared" si="0"/>
        <v>366</v>
      </c>
      <c r="R35" s="300">
        <f t="shared" ref="R35:R36" si="24">AVERAGE(E35,I35,M35)</f>
        <v>122</v>
      </c>
      <c r="S35" s="530"/>
      <c r="T35" s="533"/>
      <c r="U35" s="190">
        <f>IFERROR(R35-VLOOKUP(D35,'미니게임_DATA(순)'!$A:$FB,MATCH("rct 20g avg",'미니게임_DATA(순)'!$A$3:$FB$3,0),0),0)</f>
        <v>-24.235294117647072</v>
      </c>
      <c r="W35" s="185">
        <f t="shared" si="23"/>
        <v>134</v>
      </c>
      <c r="X35" s="267">
        <f>R35</f>
        <v>122</v>
      </c>
      <c r="Y35" s="267" t="str">
        <f>IFERROR(VLOOKUP(Z35,'미니게임_DATA(순)'!$A$4:$C$45,3,0),"-")</f>
        <v>남</v>
      </c>
      <c r="Z35" s="187" t="str">
        <f>D35</f>
        <v>이정호</v>
      </c>
      <c r="AA35" s="169"/>
      <c r="AB35" s="169"/>
    </row>
    <row r="36" spans="2:28" s="172" customFormat="1">
      <c r="B36" s="169"/>
      <c r="C36" s="538"/>
      <c r="D36" s="342" t="s">
        <v>221</v>
      </c>
      <c r="E36" s="275">
        <v>145</v>
      </c>
      <c r="F36" s="275"/>
      <c r="G36" s="527"/>
      <c r="H36" s="527"/>
      <c r="I36" s="275">
        <v>145</v>
      </c>
      <c r="J36" s="275"/>
      <c r="K36" s="527"/>
      <c r="L36" s="527"/>
      <c r="M36" s="275">
        <v>145</v>
      </c>
      <c r="N36" s="275"/>
      <c r="O36" s="527"/>
      <c r="P36" s="527"/>
      <c r="Q36" s="275">
        <f t="shared" si="0"/>
        <v>435</v>
      </c>
      <c r="R36" s="276">
        <f t="shared" si="24"/>
        <v>145</v>
      </c>
      <c r="S36" s="530"/>
      <c r="T36" s="533"/>
      <c r="U36" s="190">
        <f>IFERROR(R36-VLOOKUP(D36,'미니게임_DATA(순)'!$A:$FB,MATCH("rct 20g avg",'미니게임_DATA(순)'!$A$3:$FB$3,0),0),0)</f>
        <v>0</v>
      </c>
      <c r="W36" s="185">
        <f t="shared" si="23"/>
        <v>145</v>
      </c>
      <c r="X36" s="267">
        <f>R36</f>
        <v>145</v>
      </c>
      <c r="Y36" s="267" t="str">
        <f>IFERROR(VLOOKUP(Z36,'미니게임_DATA(순)'!$A$4:$C$45,3,0),"-")</f>
        <v>-</v>
      </c>
      <c r="Z36" s="187" t="str">
        <f>D36</f>
        <v>동수</v>
      </c>
      <c r="AA36" s="169"/>
      <c r="AB36" s="169"/>
    </row>
    <row r="37" spans="2:28">
      <c r="C37" s="538"/>
      <c r="D37" s="188"/>
      <c r="E37" s="279"/>
      <c r="F37" s="279"/>
      <c r="G37" s="527"/>
      <c r="H37" s="527"/>
      <c r="I37" s="279"/>
      <c r="J37" s="279"/>
      <c r="K37" s="527"/>
      <c r="L37" s="527"/>
      <c r="M37" s="279"/>
      <c r="N37" s="279"/>
      <c r="O37" s="527"/>
      <c r="P37" s="527"/>
      <c r="Q37" s="279">
        <f t="shared" si="0"/>
        <v>0</v>
      </c>
      <c r="R37" s="276">
        <f t="shared" ref="R37" si="25">Q37/3</f>
        <v>0</v>
      </c>
      <c r="S37" s="530"/>
      <c r="T37" s="533"/>
      <c r="U37" s="190">
        <f>IFERROR(R37-VLOOKUP(D37,'미니게임_DATA(순)'!$A:$FB,MATCH("rct 20g avg",'미니게임_DATA(순)'!$A$3:$FB$3,0),0),0)</f>
        <v>0</v>
      </c>
      <c r="W37" s="185"/>
      <c r="Z37" s="187"/>
    </row>
    <row r="38" spans="2:28" ht="16.5">
      <c r="C38" s="539"/>
      <c r="D38" s="383"/>
      <c r="E38" s="535">
        <f>SUMIF(E34:F37, "&gt;0")</f>
        <v>389</v>
      </c>
      <c r="F38" s="498"/>
      <c r="G38" s="528"/>
      <c r="H38" s="528"/>
      <c r="I38" s="535">
        <f>SUMIF(I34:J37, "&gt;0")</f>
        <v>376</v>
      </c>
      <c r="J38" s="498"/>
      <c r="K38" s="528"/>
      <c r="L38" s="528"/>
      <c r="M38" s="535">
        <f>SUMIF(M34:N37, "&gt;0")</f>
        <v>436</v>
      </c>
      <c r="N38" s="498"/>
      <c r="O38" s="528"/>
      <c r="P38" s="528"/>
      <c r="Q38" s="272">
        <f>E38+I38+M38</f>
        <v>1201</v>
      </c>
      <c r="R38" s="278"/>
      <c r="S38" s="531"/>
      <c r="T38" s="534"/>
      <c r="U38" s="277">
        <f>IFERROR(R38-VLOOKUP(D38,'미니게임_DATA(순)'!$A:$FB,MATCH("rct 20g avg",'미니게임_DATA(순)'!$A$3:$FB$3,0),0),0)</f>
        <v>0</v>
      </c>
      <c r="V38" s="185"/>
      <c r="W38" s="185"/>
      <c r="Z38" s="187">
        <f>D38</f>
        <v>0</v>
      </c>
      <c r="AA38" s="187">
        <f>SUM(E38,I38)</f>
        <v>765</v>
      </c>
    </row>
  </sheetData>
  <mergeCells count="77">
    <mergeCell ref="P34:P38"/>
    <mergeCell ref="S34:S38"/>
    <mergeCell ref="T34:T38"/>
    <mergeCell ref="E38:F38"/>
    <mergeCell ref="I38:J38"/>
    <mergeCell ref="M38:N38"/>
    <mergeCell ref="O34:O38"/>
    <mergeCell ref="C34:C38"/>
    <mergeCell ref="G34:G38"/>
    <mergeCell ref="H34:H38"/>
    <mergeCell ref="K34:K38"/>
    <mergeCell ref="L34:L38"/>
    <mergeCell ref="P29:P33"/>
    <mergeCell ref="S29:S33"/>
    <mergeCell ref="T29:T33"/>
    <mergeCell ref="E33:F33"/>
    <mergeCell ref="I33:J33"/>
    <mergeCell ref="M33:N33"/>
    <mergeCell ref="O29:O33"/>
    <mergeCell ref="C29:C33"/>
    <mergeCell ref="G29:G33"/>
    <mergeCell ref="H29:H33"/>
    <mergeCell ref="K29:K33"/>
    <mergeCell ref="L29:L33"/>
    <mergeCell ref="P24:P28"/>
    <mergeCell ref="S24:S28"/>
    <mergeCell ref="T24:T28"/>
    <mergeCell ref="E28:F28"/>
    <mergeCell ref="I28:J28"/>
    <mergeCell ref="M28:N28"/>
    <mergeCell ref="O24:O28"/>
    <mergeCell ref="C24:C28"/>
    <mergeCell ref="G24:G28"/>
    <mergeCell ref="H24:H28"/>
    <mergeCell ref="K24:K28"/>
    <mergeCell ref="L24:L28"/>
    <mergeCell ref="P19:P23"/>
    <mergeCell ref="S19:S23"/>
    <mergeCell ref="T19:T23"/>
    <mergeCell ref="E23:F23"/>
    <mergeCell ref="I23:J23"/>
    <mergeCell ref="M23:N23"/>
    <mergeCell ref="O19:O23"/>
    <mergeCell ref="C19:C23"/>
    <mergeCell ref="G19:G23"/>
    <mergeCell ref="H19:H23"/>
    <mergeCell ref="K19:K23"/>
    <mergeCell ref="L19:L23"/>
    <mergeCell ref="P14:P18"/>
    <mergeCell ref="S14:S18"/>
    <mergeCell ref="T14:T18"/>
    <mergeCell ref="E18:F18"/>
    <mergeCell ref="I18:J18"/>
    <mergeCell ref="M18:N18"/>
    <mergeCell ref="U11:U13"/>
    <mergeCell ref="E12:H12"/>
    <mergeCell ref="I12:L12"/>
    <mergeCell ref="M12:P12"/>
    <mergeCell ref="C14:C18"/>
    <mergeCell ref="G14:G18"/>
    <mergeCell ref="H14:H18"/>
    <mergeCell ref="K14:K18"/>
    <mergeCell ref="L14:L18"/>
    <mergeCell ref="O14:O18"/>
    <mergeCell ref="C11:C13"/>
    <mergeCell ref="D11:D13"/>
    <mergeCell ref="E11:P11"/>
    <mergeCell ref="Q11:Q13"/>
    <mergeCell ref="R11:R13"/>
    <mergeCell ref="S11:T12"/>
    <mergeCell ref="B2:B3"/>
    <mergeCell ref="B4:B5"/>
    <mergeCell ref="B6:B9"/>
    <mergeCell ref="D6:E6"/>
    <mergeCell ref="D7:E7"/>
    <mergeCell ref="D8:E8"/>
    <mergeCell ref="D9:E9"/>
  </mergeCells>
  <phoneticPr fontId="2" type="noConversion"/>
  <conditionalFormatting sqref="G39:H1048576 O39:P1048576 K39:L1048576 O12:P13 G1:H13 K1:L13 O1:P10">
    <cfRule type="cellIs" dxfId="180" priority="9" operator="equal">
      <formula>1</formula>
    </cfRule>
  </conditionalFormatting>
  <conditionalFormatting sqref="P14:P38">
    <cfRule type="cellIs" dxfId="179" priority="7" operator="equal">
      <formula>1</formula>
    </cfRule>
  </conditionalFormatting>
  <conditionalFormatting sqref="G14:H14 G19:H19 H15:H18 G29:H29 H25:H28 G24:H24 H20:H23 H30:H33">
    <cfRule type="cellIs" dxfId="178" priority="8" operator="equal">
      <formula>1</formula>
    </cfRule>
  </conditionalFormatting>
  <conditionalFormatting sqref="K14:L14 K19 K29 K24 L15:L38">
    <cfRule type="cellIs" dxfId="177" priority="6" operator="equal">
      <formula>1</formula>
    </cfRule>
  </conditionalFormatting>
  <conditionalFormatting sqref="O14 O19 O29 O24">
    <cfRule type="cellIs" dxfId="176" priority="5" operator="equal">
      <formula>1</formula>
    </cfRule>
  </conditionalFormatting>
  <conditionalFormatting sqref="G34">
    <cfRule type="cellIs" dxfId="175" priority="4" operator="equal">
      <formula>1</formula>
    </cfRule>
  </conditionalFormatting>
  <conditionalFormatting sqref="H34:H38">
    <cfRule type="cellIs" dxfId="174" priority="3" operator="equal">
      <formula>1</formula>
    </cfRule>
  </conditionalFormatting>
  <conditionalFormatting sqref="K34">
    <cfRule type="cellIs" dxfId="173" priority="2" operator="equal">
      <formula>1</formula>
    </cfRule>
  </conditionalFormatting>
  <conditionalFormatting sqref="O34">
    <cfRule type="cellIs" dxfId="172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8"/>
  <sheetViews>
    <sheetView showGridLines="0" zoomScale="85" zoomScaleNormal="85" workbookViewId="0">
      <selection activeCell="E4" sqref="E4"/>
    </sheetView>
  </sheetViews>
  <sheetFormatPr defaultColWidth="9" defaultRowHeight="13.5"/>
  <cols>
    <col min="1" max="5" width="9" style="169"/>
    <col min="6" max="8" width="5.375" style="169" customWidth="1"/>
    <col min="9" max="9" width="9" style="169"/>
    <col min="10" max="12" width="5.375" style="169" customWidth="1"/>
    <col min="13" max="13" width="9" style="169"/>
    <col min="14" max="16" width="5.375" style="169" customWidth="1"/>
    <col min="17" max="17" width="7.375" style="170" customWidth="1"/>
    <col min="18" max="18" width="7.375" style="171" customWidth="1"/>
    <col min="19" max="20" width="7.375" style="169" customWidth="1"/>
    <col min="21" max="21" width="9" style="169"/>
    <col min="22" max="23" width="9" style="172" hidden="1" customWidth="1"/>
    <col min="24" max="25" width="9" style="267" hidden="1" customWidth="1"/>
    <col min="26" max="28" width="9" style="169" hidden="1" customWidth="1"/>
    <col min="29" max="16384" width="9" style="169"/>
  </cols>
  <sheetData>
    <row r="2" spans="2:28">
      <c r="B2" s="550" t="s">
        <v>154</v>
      </c>
      <c r="C2" s="166" t="s">
        <v>156</v>
      </c>
      <c r="D2" s="167" t="e">
        <f>VLOOKUP(E2,W14:Z37,4,0)</f>
        <v>#N/A</v>
      </c>
      <c r="E2" s="198" t="e">
        <f t="array" ref="E2">MAX(IF(Y14:Y38="남",W14:W38))</f>
        <v>#N/A</v>
      </c>
      <c r="F2" s="268"/>
    </row>
    <row r="3" spans="2:28">
      <c r="B3" s="551"/>
      <c r="C3" s="166" t="s">
        <v>157</v>
      </c>
      <c r="D3" s="167" t="e">
        <f>VLOOKUP(E3,W15:Z38,4,0)</f>
        <v>#N/A</v>
      </c>
      <c r="E3" s="198" t="e">
        <f t="array" ref="E3">MAX(IF(Y15:Y39="여",W15:W39))</f>
        <v>#N/A</v>
      </c>
      <c r="F3" s="268"/>
    </row>
    <row r="4" spans="2:28">
      <c r="B4" s="550" t="s">
        <v>158</v>
      </c>
      <c r="C4" s="166" t="s">
        <v>156</v>
      </c>
      <c r="D4" s="167" t="e">
        <f>VLOOKUP(E4,X14:Z38,3,0)</f>
        <v>#N/A</v>
      </c>
      <c r="E4" s="168" t="e">
        <f t="array" ref="E4">MAX(IF(Y14:Y38="남",X14:X38))</f>
        <v>#N/A</v>
      </c>
      <c r="F4" s="268"/>
    </row>
    <row r="5" spans="2:28">
      <c r="B5" s="551"/>
      <c r="C5" s="166" t="s">
        <v>157</v>
      </c>
      <c r="D5" s="167" t="e">
        <f>VLOOKUP(E5,X15:Z39,3,0)</f>
        <v>#N/A</v>
      </c>
      <c r="E5" s="168" t="e">
        <f t="array" ref="E5">MAX(IF(Y14:Y38="여",X14:X38))</f>
        <v>#N/A</v>
      </c>
      <c r="F5" s="268"/>
    </row>
    <row r="6" spans="2:28" ht="16.5">
      <c r="B6" s="550" t="s">
        <v>224</v>
      </c>
      <c r="C6" s="235" t="s">
        <v>154</v>
      </c>
      <c r="D6" s="554" t="s">
        <v>334</v>
      </c>
      <c r="E6" s="472"/>
      <c r="F6" s="269"/>
    </row>
    <row r="7" spans="2:28" ht="16.5">
      <c r="B7" s="552"/>
      <c r="C7" s="235" t="s">
        <v>226</v>
      </c>
      <c r="D7" s="554" t="s">
        <v>241</v>
      </c>
      <c r="E7" s="472"/>
      <c r="F7" s="269"/>
    </row>
    <row r="8" spans="2:28" ht="16.5">
      <c r="B8" s="552"/>
      <c r="C8" s="235" t="s">
        <v>88</v>
      </c>
      <c r="D8" s="554" t="s">
        <v>11</v>
      </c>
      <c r="E8" s="498"/>
      <c r="F8" s="270"/>
    </row>
    <row r="9" spans="2:28" ht="16.5">
      <c r="B9" s="553"/>
      <c r="C9" s="235" t="s">
        <v>227</v>
      </c>
      <c r="D9" s="554"/>
      <c r="E9" s="472"/>
      <c r="F9" s="269"/>
      <c r="G9" s="386"/>
    </row>
    <row r="11" spans="2:28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545"/>
      <c r="M11" s="545"/>
      <c r="N11" s="546"/>
      <c r="O11" s="546"/>
      <c r="P11" s="496"/>
      <c r="Q11" s="547" t="s">
        <v>142</v>
      </c>
      <c r="R11" s="548" t="s">
        <v>184</v>
      </c>
      <c r="S11" s="542" t="s">
        <v>169</v>
      </c>
      <c r="T11" s="542"/>
      <c r="U11" s="542" t="s">
        <v>335</v>
      </c>
    </row>
    <row r="12" spans="2:28">
      <c r="C12" s="543"/>
      <c r="D12" s="543"/>
      <c r="E12" s="543">
        <v>1</v>
      </c>
      <c r="F12" s="543"/>
      <c r="G12" s="543"/>
      <c r="H12" s="543"/>
      <c r="I12" s="543">
        <v>2</v>
      </c>
      <c r="J12" s="543"/>
      <c r="K12" s="543"/>
      <c r="L12" s="543"/>
      <c r="M12" s="543">
        <v>3</v>
      </c>
      <c r="N12" s="543"/>
      <c r="O12" s="543"/>
      <c r="P12" s="543"/>
      <c r="Q12" s="547"/>
      <c r="R12" s="549"/>
      <c r="S12" s="542"/>
      <c r="T12" s="542"/>
      <c r="U12" s="542"/>
      <c r="AB12" s="172"/>
    </row>
    <row r="13" spans="2:28" ht="27">
      <c r="C13" s="543"/>
      <c r="D13" s="543"/>
      <c r="E13" s="350" t="s">
        <v>150</v>
      </c>
      <c r="F13" s="349" t="s">
        <v>302</v>
      </c>
      <c r="G13" s="349" t="s">
        <v>152</v>
      </c>
      <c r="H13" s="349" t="s">
        <v>153</v>
      </c>
      <c r="I13" s="350" t="s">
        <v>150</v>
      </c>
      <c r="J13" s="349" t="s">
        <v>302</v>
      </c>
      <c r="K13" s="349" t="s">
        <v>152</v>
      </c>
      <c r="L13" s="349" t="s">
        <v>153</v>
      </c>
      <c r="M13" s="350" t="s">
        <v>150</v>
      </c>
      <c r="N13" s="349" t="s">
        <v>302</v>
      </c>
      <c r="O13" s="349" t="s">
        <v>152</v>
      </c>
      <c r="P13" s="349" t="s">
        <v>153</v>
      </c>
      <c r="Q13" s="547"/>
      <c r="R13" s="549"/>
      <c r="S13" s="349" t="s">
        <v>144</v>
      </c>
      <c r="T13" s="350" t="s">
        <v>168</v>
      </c>
      <c r="U13" s="543"/>
      <c r="W13" s="172" t="s">
        <v>170</v>
      </c>
      <c r="X13" s="267" t="s">
        <v>171</v>
      </c>
    </row>
    <row r="14" spans="2:28">
      <c r="C14" s="537" t="s">
        <v>145</v>
      </c>
      <c r="D14" s="180" t="s">
        <v>8</v>
      </c>
      <c r="E14" s="273">
        <f>IFERROR(VLOOKUP(D14,'미니게임_DATA(순)'!$A$4:$EV$45,112,0),0)</f>
        <v>196</v>
      </c>
      <c r="F14" s="273"/>
      <c r="G14" s="526">
        <f>RANK(E18,($E$18,$E$23,$E$28,$E$33,E$38))</f>
        <v>1</v>
      </c>
      <c r="H14" s="526">
        <f>G14</f>
        <v>1</v>
      </c>
      <c r="I14" s="273">
        <f>IFERROR(VLOOKUP(D14,'미니게임_DATA(순)'!$A$4:$EV$45,113,0),0)</f>
        <v>141</v>
      </c>
      <c r="J14" s="273"/>
      <c r="K14" s="526">
        <f>RANK(I18,($I$18,$I$23,$I$28,$I$33,I$38))</f>
        <v>2</v>
      </c>
      <c r="L14" s="526">
        <f>RANK(AA18,($AA$18,$AA$23,$AA$28,$AA$33,$AA$38))</f>
        <v>2</v>
      </c>
      <c r="M14" s="273">
        <f>IFERROR(VLOOKUP(D14,'미니게임_DATA(순)'!$A$4:$EV$45,114,0),0)</f>
        <v>178</v>
      </c>
      <c r="N14" s="273"/>
      <c r="O14" s="526">
        <f>RANK(M18,($M$18,$M$23,$M$28,$M$33,$M$38))</f>
        <v>2</v>
      </c>
      <c r="P14" s="526">
        <f>S14</f>
        <v>2</v>
      </c>
      <c r="Q14" s="273">
        <f t="shared" ref="Q14:Q37" si="0">E14+I14+M14</f>
        <v>515</v>
      </c>
      <c r="R14" s="274">
        <f>AVERAGE(E14,I14,M14)</f>
        <v>171.66666666666666</v>
      </c>
      <c r="S14" s="529">
        <f>RANK(Q18,($Q$18,$Q$23,$Q$28,$Q$33,$Q$38))</f>
        <v>2</v>
      </c>
      <c r="T14" s="541">
        <f>MAX($Q$18,$Q$23,Q$28,Q$33,Q$38)-Q18</f>
        <v>137</v>
      </c>
      <c r="U14" s="184">
        <f>IFERROR(R14-VLOOKUP(D14,'미니게임_DATA(순)'!$A:$FB,MATCH("rct 20g avg",'미니게임_DATA(순)'!$A$3:$FB$3,0),0),0)</f>
        <v>-18.883333333333354</v>
      </c>
      <c r="W14" s="185">
        <f>MAX(E14,I14,M14)</f>
        <v>196</v>
      </c>
      <c r="X14" s="267">
        <f>R14</f>
        <v>171.66666666666666</v>
      </c>
      <c r="Y14" s="267" t="str">
        <f>VLOOKUP(Z14,'미니게임_DATA(순)'!$A$4:$C$45,3,0)</f>
        <v>남</v>
      </c>
      <c r="Z14" s="187" t="str">
        <f>D14</f>
        <v>조문수</v>
      </c>
    </row>
    <row r="15" spans="2:28">
      <c r="C15" s="538"/>
      <c r="D15" s="188" t="s">
        <v>9</v>
      </c>
      <c r="E15" s="273">
        <f>IFERROR(VLOOKUP(D15,'미니게임_DATA(순)'!$A$4:$EV$45,112,0),0)</f>
        <v>210</v>
      </c>
      <c r="F15" s="275"/>
      <c r="G15" s="527"/>
      <c r="H15" s="527"/>
      <c r="I15" s="273">
        <f>IFERROR(VLOOKUP(D15,'미니게임_DATA(순)'!$A$4:$EV$45,113,0),0)</f>
        <v>146</v>
      </c>
      <c r="J15" s="275"/>
      <c r="K15" s="527"/>
      <c r="L15" s="527"/>
      <c r="M15" s="273">
        <f>IFERROR(VLOOKUP(D15,'미니게임_DATA(순)'!$A$4:$EV$45,114,0),0)</f>
        <v>147</v>
      </c>
      <c r="N15" s="275"/>
      <c r="O15" s="527"/>
      <c r="P15" s="527"/>
      <c r="Q15" s="275">
        <f t="shared" si="0"/>
        <v>503</v>
      </c>
      <c r="R15" s="300">
        <f t="shared" ref="R15:R16" si="1">AVERAGE(E15,I15,M15)</f>
        <v>167.66666666666666</v>
      </c>
      <c r="S15" s="530"/>
      <c r="T15" s="527"/>
      <c r="U15" s="190">
        <f>IFERROR(R15-VLOOKUP(D15,'미니게임_DATA(순)'!$A:$FB,MATCH("rct 20g avg",'미니게임_DATA(순)'!$A$3:$FB$3,0),0),0)</f>
        <v>10.466666666666669</v>
      </c>
      <c r="W15" s="185">
        <f t="shared" ref="W15:W16" si="2">MAX(E15,I15,M15)</f>
        <v>210</v>
      </c>
      <c r="X15" s="267">
        <f t="shared" ref="X15:X16" si="3">R15</f>
        <v>167.66666666666666</v>
      </c>
      <c r="Y15" s="267" t="str">
        <f>VLOOKUP(Z15,'미니게임_DATA(순)'!$A$4:$C$45,3,0)</f>
        <v>남</v>
      </c>
      <c r="Z15" s="187" t="str">
        <f>D15</f>
        <v>백동민</v>
      </c>
    </row>
    <row r="16" spans="2:28">
      <c r="C16" s="538"/>
      <c r="D16" s="188" t="s">
        <v>11</v>
      </c>
      <c r="E16" s="273">
        <f>IFERROR(VLOOKUP(D16,'미니게임_DATA(순)'!$A$4:$EV$45,111,0),0)</f>
        <v>124</v>
      </c>
      <c r="F16" s="275"/>
      <c r="G16" s="527"/>
      <c r="H16" s="527"/>
      <c r="I16" s="273">
        <f>IFERROR(VLOOKUP(D16,'미니게임_DATA(순)'!$A$4:$EV$45,113,0),0)</f>
        <v>145</v>
      </c>
      <c r="J16" s="275"/>
      <c r="K16" s="527"/>
      <c r="L16" s="527"/>
      <c r="M16" s="273">
        <f>IFERROR(VLOOKUP(D16,'미니게임_DATA(순)'!$A$4:$EV$45,114,0),0)</f>
        <v>150</v>
      </c>
      <c r="N16" s="275"/>
      <c r="O16" s="527"/>
      <c r="P16" s="527"/>
      <c r="Q16" s="275">
        <f t="shared" si="0"/>
        <v>419</v>
      </c>
      <c r="R16" s="276">
        <f t="shared" si="1"/>
        <v>139.66666666666666</v>
      </c>
      <c r="S16" s="530"/>
      <c r="T16" s="527"/>
      <c r="U16" s="190">
        <f>IFERROR(R16-VLOOKUP(D16,'미니게임_DATA(순)'!$A:$FB,MATCH("rct 20g avg",'미니게임_DATA(순)'!$A$3:$FB$3,0),0),0)</f>
        <v>-18.483333333333348</v>
      </c>
      <c r="W16" s="185">
        <f t="shared" si="2"/>
        <v>150</v>
      </c>
      <c r="X16" s="267">
        <f t="shared" si="3"/>
        <v>139.66666666666666</v>
      </c>
      <c r="Y16" s="267" t="str">
        <f>VLOOKUP(Z16,'미니게임_DATA(순)'!$A$4:$C$45,3,0)</f>
        <v>남</v>
      </c>
      <c r="Z16" s="187" t="str">
        <f>D16</f>
        <v>박용승</v>
      </c>
    </row>
    <row r="17" spans="3:27">
      <c r="C17" s="538"/>
      <c r="D17" s="191"/>
      <c r="E17" s="279"/>
      <c r="F17" s="279"/>
      <c r="G17" s="527"/>
      <c r="H17" s="527"/>
      <c r="I17" s="279"/>
      <c r="J17" s="279"/>
      <c r="K17" s="527"/>
      <c r="L17" s="527"/>
      <c r="M17" s="279"/>
      <c r="N17" s="279"/>
      <c r="O17" s="527"/>
      <c r="P17" s="527"/>
      <c r="Q17" s="279">
        <f t="shared" si="0"/>
        <v>0</v>
      </c>
      <c r="R17" s="276">
        <f t="shared" ref="R17" si="4">Q17/3</f>
        <v>0</v>
      </c>
      <c r="S17" s="530"/>
      <c r="T17" s="527"/>
      <c r="U17" s="190">
        <f>IFERROR(R17-VLOOKUP(D17,'미니게임_DATA(순)'!$A:$FB,MATCH("rct 20g avg",'미니게임_DATA(순)'!$A$3:$FB$3,0),0),0)</f>
        <v>0</v>
      </c>
      <c r="W17" s="185"/>
      <c r="Z17" s="187"/>
    </row>
    <row r="18" spans="3:27" ht="16.5">
      <c r="C18" s="539"/>
      <c r="D18" s="351"/>
      <c r="E18" s="535">
        <f>SUMIF(E14:F17, "&gt;0")</f>
        <v>530</v>
      </c>
      <c r="F18" s="498"/>
      <c r="G18" s="528"/>
      <c r="H18" s="528"/>
      <c r="I18" s="535">
        <f>SUMIF(I14:I17, "&gt;0")</f>
        <v>432</v>
      </c>
      <c r="J18" s="498"/>
      <c r="K18" s="528"/>
      <c r="L18" s="528"/>
      <c r="M18" s="535">
        <f>SUMIF(M14:M17, "&gt;0")</f>
        <v>475</v>
      </c>
      <c r="N18" s="498"/>
      <c r="O18" s="528"/>
      <c r="P18" s="528"/>
      <c r="Q18" s="272">
        <f t="shared" si="0"/>
        <v>1437</v>
      </c>
      <c r="R18" s="196"/>
      <c r="S18" s="531"/>
      <c r="T18" s="528"/>
      <c r="U18" s="277">
        <f>IFERROR(R18-VLOOKUP(D18,'미니게임_DATA(순)'!$A:$FB,MATCH("rct 20g avg",'미니게임_DATA(순)'!$A$3:$FB$3,0),0),0)</f>
        <v>0</v>
      </c>
      <c r="V18" s="185"/>
      <c r="W18" s="185"/>
      <c r="Z18" s="187">
        <f>D18</f>
        <v>0</v>
      </c>
      <c r="AA18" s="187">
        <f>SUM(E18,I18)</f>
        <v>962</v>
      </c>
    </row>
    <row r="19" spans="3:27">
      <c r="C19" s="537" t="s">
        <v>146</v>
      </c>
      <c r="D19" s="180" t="s">
        <v>23</v>
      </c>
      <c r="E19" s="273">
        <f>IFERROR(VLOOKUP(D19,'미니게임_DATA(순)'!$A$4:$EV$45,112,0),0)</f>
        <v>188</v>
      </c>
      <c r="F19" s="273"/>
      <c r="G19" s="526">
        <f>RANK(E23,($E$18,$E$23,$E$28,$E$33,E$38))</f>
        <v>2</v>
      </c>
      <c r="H19" s="526">
        <f t="shared" ref="H19" si="5">G19</f>
        <v>2</v>
      </c>
      <c r="I19" s="273">
        <f>IFERROR(VLOOKUP(D19,'미니게임_DATA(순)'!$A$4:$EV$45,113,0),0)</f>
        <v>140</v>
      </c>
      <c r="J19" s="273"/>
      <c r="K19" s="526">
        <f>RANK(I23,($I$18,$I$23,$I$28,$I$33,I$38))</f>
        <v>3</v>
      </c>
      <c r="L19" s="526">
        <f>RANK(AA23,($AA$18,$AA$23,$AA$28,$AA$33,$AA$38))</f>
        <v>3</v>
      </c>
      <c r="M19" s="273">
        <f>IFERROR(VLOOKUP(D19,'미니게임_DATA(순)'!$A$4:$EV$45,114,0),0)</f>
        <v>157</v>
      </c>
      <c r="N19" s="273"/>
      <c r="O19" s="526">
        <f>RANK(M23,($M$18,$M$23,$M$28,$M$33,$M$38))</f>
        <v>3</v>
      </c>
      <c r="P19" s="526">
        <f t="shared" ref="P19" si="6">S19</f>
        <v>3</v>
      </c>
      <c r="Q19" s="273">
        <f t="shared" si="0"/>
        <v>485</v>
      </c>
      <c r="R19" s="274">
        <f>AVERAGE(E19,I19,M19)</f>
        <v>161.66666666666666</v>
      </c>
      <c r="S19" s="529">
        <f>RANK(Q23,($Q$18,$Q$23,$Q$28,$Q$33,$Q$38))</f>
        <v>3</v>
      </c>
      <c r="T19" s="532">
        <f>MAX($Q$18,$Q$23,Q$28,Q$33,Q$38)-Q23</f>
        <v>207</v>
      </c>
      <c r="U19" s="184">
        <f>IFERROR(R19-VLOOKUP(D19,'미니게임_DATA(순)'!$A:$FB,MATCH("rct 20g avg",'미니게임_DATA(순)'!$A$3:$FB$3,0),0),0)</f>
        <v>-12.033333333333331</v>
      </c>
      <c r="W19" s="185">
        <f>MAX(E19,I19,M19)</f>
        <v>188</v>
      </c>
      <c r="X19" s="267">
        <f>R19</f>
        <v>161.66666666666666</v>
      </c>
      <c r="Y19" s="267" t="str">
        <f>VLOOKUP(Z19,'미니게임_DATA(순)'!$A$4:$C$45,3,0)</f>
        <v>남</v>
      </c>
      <c r="Z19" s="187" t="str">
        <f>D19</f>
        <v>천재복</v>
      </c>
    </row>
    <row r="20" spans="3:27">
      <c r="C20" s="538"/>
      <c r="D20" s="188" t="s">
        <v>14</v>
      </c>
      <c r="E20" s="273">
        <f>IFERROR(VLOOKUP(D20,'미니게임_DATA(순)'!$A$4:$EV$45,112,0),0)</f>
        <v>178</v>
      </c>
      <c r="F20" s="275"/>
      <c r="G20" s="527"/>
      <c r="H20" s="527"/>
      <c r="I20" s="273">
        <f>IFERROR(VLOOKUP(D20,'미니게임_DATA(순)'!$A$4:$EV$45,113,0),0)</f>
        <v>169</v>
      </c>
      <c r="J20" s="275"/>
      <c r="K20" s="527"/>
      <c r="L20" s="527"/>
      <c r="M20" s="273">
        <f>IFERROR(VLOOKUP(D20,'미니게임_DATA(순)'!$A$4:$EV$45,114,0),0)</f>
        <v>149</v>
      </c>
      <c r="N20" s="275"/>
      <c r="O20" s="527"/>
      <c r="P20" s="527"/>
      <c r="Q20" s="275">
        <f t="shared" si="0"/>
        <v>496</v>
      </c>
      <c r="R20" s="300">
        <f t="shared" ref="R20:R21" si="7">AVERAGE(E20,I20,M20)</f>
        <v>165.33333333333334</v>
      </c>
      <c r="S20" s="530"/>
      <c r="T20" s="533"/>
      <c r="U20" s="190">
        <f>IFERROR(R20-VLOOKUP(D20,'미니게임_DATA(순)'!$A:$FB,MATCH("rct 20g avg",'미니게임_DATA(순)'!$A$3:$FB$3,0),0),0)</f>
        <v>0.78333333333333144</v>
      </c>
      <c r="W20" s="185">
        <f t="shared" ref="W20:W21" si="8">MAX(E20,I20,M20)</f>
        <v>178</v>
      </c>
      <c r="X20" s="267">
        <f>R20</f>
        <v>165.33333333333334</v>
      </c>
      <c r="Y20" s="267" t="str">
        <f>VLOOKUP(Z20,'미니게임_DATA(순)'!$A$4:$C$45,3,0)</f>
        <v>남</v>
      </c>
      <c r="Z20" s="187" t="str">
        <f>D20</f>
        <v>채승엽</v>
      </c>
    </row>
    <row r="21" spans="3:27">
      <c r="C21" s="538"/>
      <c r="D21" s="188" t="s">
        <v>10</v>
      </c>
      <c r="E21" s="273">
        <f>IFERROR(VLOOKUP(D21,'미니게임_DATA(순)'!$A$4:$EV$45,112,0),0)</f>
        <v>140</v>
      </c>
      <c r="F21" s="275"/>
      <c r="G21" s="527"/>
      <c r="H21" s="527"/>
      <c r="I21" s="273">
        <f>IFERROR(VLOOKUP(D21,'미니게임_DATA(순)'!$A$4:$EV$45,113,0),0)</f>
        <v>120</v>
      </c>
      <c r="J21" s="275"/>
      <c r="K21" s="527"/>
      <c r="L21" s="527"/>
      <c r="M21" s="273">
        <f>IFERROR(VLOOKUP(D21,'미니게임_DATA(순)'!$A$4:$EV$45,114,0),0)</f>
        <v>126</v>
      </c>
      <c r="N21" s="275"/>
      <c r="O21" s="527"/>
      <c r="P21" s="527"/>
      <c r="Q21" s="275">
        <f t="shared" si="0"/>
        <v>386</v>
      </c>
      <c r="R21" s="276">
        <f t="shared" si="7"/>
        <v>128.66666666666666</v>
      </c>
      <c r="S21" s="530"/>
      <c r="T21" s="533"/>
      <c r="U21" s="190">
        <f>IFERROR(R21-VLOOKUP(D21,'미니게임_DATA(순)'!$A:$FB,MATCH("rct 20g avg",'미니게임_DATA(순)'!$A$3:$FB$3,0),0),0)</f>
        <v>-22.233333333333348</v>
      </c>
      <c r="W21" s="185">
        <f t="shared" si="8"/>
        <v>140</v>
      </c>
      <c r="X21" s="267">
        <f>R21</f>
        <v>128.66666666666666</v>
      </c>
      <c r="Y21" s="267" t="str">
        <f>VLOOKUP(Z21,'미니게임_DATA(순)'!$A$4:$C$45,3,0)</f>
        <v>남</v>
      </c>
      <c r="Z21" s="187" t="str">
        <f>D21</f>
        <v>김신철</v>
      </c>
    </row>
    <row r="22" spans="3:27">
      <c r="C22" s="538"/>
      <c r="D22" s="188"/>
      <c r="E22" s="279"/>
      <c r="F22" s="279"/>
      <c r="G22" s="527"/>
      <c r="H22" s="527"/>
      <c r="I22" s="279"/>
      <c r="J22" s="279"/>
      <c r="K22" s="527"/>
      <c r="L22" s="527"/>
      <c r="M22" s="279"/>
      <c r="N22" s="279"/>
      <c r="O22" s="527"/>
      <c r="P22" s="527"/>
      <c r="Q22" s="279">
        <f t="shared" si="0"/>
        <v>0</v>
      </c>
      <c r="R22" s="276">
        <f t="shared" ref="R22" si="9">Q22/3</f>
        <v>0</v>
      </c>
      <c r="S22" s="530"/>
      <c r="T22" s="533"/>
      <c r="U22" s="190">
        <f>IFERROR(R22-VLOOKUP(D22,'미니게임_DATA(순)'!$A:$FB,MATCH("rct 20g avg",'미니게임_DATA(순)'!$A$3:$FB$3,0),0),0)</f>
        <v>0</v>
      </c>
      <c r="W22" s="185"/>
      <c r="Z22" s="187"/>
    </row>
    <row r="23" spans="3:27" ht="16.5">
      <c r="C23" s="539"/>
      <c r="D23" s="351"/>
      <c r="E23" s="535">
        <f>SUMIF(E19:F22, "&gt;0")</f>
        <v>506</v>
      </c>
      <c r="F23" s="498"/>
      <c r="G23" s="528"/>
      <c r="H23" s="528"/>
      <c r="I23" s="535">
        <f>SUMIF(I19:J22, "&gt;0")</f>
        <v>429</v>
      </c>
      <c r="J23" s="498"/>
      <c r="K23" s="528"/>
      <c r="L23" s="528"/>
      <c r="M23" s="535">
        <f>SUMIF(M19:N22, "&gt;0")</f>
        <v>432</v>
      </c>
      <c r="N23" s="498"/>
      <c r="O23" s="528"/>
      <c r="P23" s="528"/>
      <c r="Q23" s="272">
        <f t="shared" si="0"/>
        <v>1367</v>
      </c>
      <c r="R23" s="196"/>
      <c r="S23" s="531"/>
      <c r="T23" s="534"/>
      <c r="U23" s="277">
        <f>IFERROR(R23-VLOOKUP(D23,'미니게임_DATA(순)'!$A:$FB,MATCH("rct 20g avg",'미니게임_DATA(순)'!$A$3:$FB$3,0),0),0)</f>
        <v>0</v>
      </c>
      <c r="V23" s="185"/>
      <c r="W23" s="185"/>
      <c r="Z23" s="187">
        <f t="shared" ref="Z23:Z31" si="10">D23</f>
        <v>0</v>
      </c>
      <c r="AA23" s="187">
        <f>SUM(E23,I23)</f>
        <v>935</v>
      </c>
    </row>
    <row r="24" spans="3:27">
      <c r="C24" s="537" t="s">
        <v>147</v>
      </c>
      <c r="D24" s="180" t="s">
        <v>37</v>
      </c>
      <c r="E24" s="273">
        <f>IFERROR(VLOOKUP(D24,'미니게임_DATA(순)'!$A$4:$EV$45,112,0),0)</f>
        <v>220</v>
      </c>
      <c r="F24" s="273"/>
      <c r="G24" s="526">
        <f>RANK(E28,($E$18,$E$23,$E$28,$E$33,E$38))</f>
        <v>3</v>
      </c>
      <c r="H24" s="526">
        <f t="shared" ref="H24" si="11">G24</f>
        <v>3</v>
      </c>
      <c r="I24" s="273">
        <f>IFERROR(VLOOKUP(D24,'미니게임_DATA(순)'!$A$4:$EV$45,113,0),0)</f>
        <v>205</v>
      </c>
      <c r="J24" s="273"/>
      <c r="K24" s="526">
        <f>RANK(I28,($I$18,$I$23,$I$28,$I$33,I$38))</f>
        <v>1</v>
      </c>
      <c r="L24" s="526">
        <f>RANK(AA28,($AA$18,$AA$23,$AA$28,$AA$33,$AA$38))</f>
        <v>1</v>
      </c>
      <c r="M24" s="273">
        <f>IFERROR(VLOOKUP(D24,'미니게임_DATA(순)'!$A$4:$EV$45,114,0),0)</f>
        <v>178</v>
      </c>
      <c r="N24" s="273"/>
      <c r="O24" s="526">
        <f>RANK(M28,($M$18,$M$23,$M$28,$M$33,$M$38))</f>
        <v>1</v>
      </c>
      <c r="P24" s="526">
        <f t="shared" ref="P24" si="12">S24</f>
        <v>1</v>
      </c>
      <c r="Q24" s="273">
        <f t="shared" si="0"/>
        <v>603</v>
      </c>
      <c r="R24" s="274">
        <f>AVERAGE(E24,I24,M24)</f>
        <v>201</v>
      </c>
      <c r="S24" s="529">
        <f>RANK(Q28,($Q$18,$Q$23,$Q$28,$Q$33,$Q$38))</f>
        <v>1</v>
      </c>
      <c r="T24" s="532">
        <f>MAX($Q$18,$Q$23,Q$28,Q$33,Q$38)-Q28</f>
        <v>0</v>
      </c>
      <c r="U24" s="184">
        <f>IFERROR(R24-VLOOKUP(D24,'미니게임_DATA(순)'!$A:$FB,MATCH("rct 20g avg",'미니게임_DATA(순)'!$A$3:$FB$3,0),0),0)</f>
        <v>33.900000000000006</v>
      </c>
      <c r="W24" s="185">
        <f t="shared" ref="W24:W27" si="13">MAX(E24,I24,M24)</f>
        <v>220</v>
      </c>
      <c r="X24" s="267">
        <f>R24</f>
        <v>201</v>
      </c>
      <c r="Y24" s="267" t="str">
        <f>VLOOKUP(Z24,'미니게임_DATA(순)'!$A$4:$C$45,3,0)</f>
        <v>남</v>
      </c>
      <c r="Z24" s="187" t="str">
        <f t="shared" si="10"/>
        <v>최은규</v>
      </c>
    </row>
    <row r="25" spans="3:27">
      <c r="C25" s="538"/>
      <c r="D25" s="188" t="s">
        <v>241</v>
      </c>
      <c r="E25" s="273">
        <f>IFERROR(VLOOKUP(D25,'미니게임_DATA(순)'!$A$4:$EV$45,112,0),0)</f>
        <v>155</v>
      </c>
      <c r="F25" s="275"/>
      <c r="G25" s="527"/>
      <c r="H25" s="527"/>
      <c r="I25" s="273">
        <f>IFERROR(VLOOKUP(D25,'미니게임_DATA(순)'!$A$4:$EV$45,113,0),0)</f>
        <v>198</v>
      </c>
      <c r="J25" s="275"/>
      <c r="K25" s="527"/>
      <c r="L25" s="527"/>
      <c r="M25" s="273">
        <f>IFERROR(VLOOKUP(D25,'미니게임_DATA(순)'!$A$4:$EV$45,114,0),0)</f>
        <v>182</v>
      </c>
      <c r="N25" s="275"/>
      <c r="O25" s="527"/>
      <c r="P25" s="527"/>
      <c r="Q25" s="275">
        <f t="shared" si="0"/>
        <v>535</v>
      </c>
      <c r="R25" s="300">
        <f t="shared" ref="R25:R26" si="14">AVERAGE(E25,I25,M25)</f>
        <v>178.33333333333334</v>
      </c>
      <c r="S25" s="530"/>
      <c r="T25" s="533"/>
      <c r="U25" s="190">
        <f>IFERROR(R25-VLOOKUP(D25,'미니게임_DATA(순)'!$A:$FB,MATCH("rct 20g avg",'미니게임_DATA(순)'!$A$3:$FB$3,0),0),0)</f>
        <v>20.183333333333337</v>
      </c>
      <c r="W25" s="185">
        <f t="shared" si="13"/>
        <v>198</v>
      </c>
      <c r="X25" s="267">
        <f>R25</f>
        <v>178.33333333333334</v>
      </c>
      <c r="Y25" s="267" t="str">
        <f>VLOOKUP(Z25,'미니게임_DATA(순)'!$A$4:$C$45,3,0)</f>
        <v>남</v>
      </c>
      <c r="Z25" s="187" t="str">
        <f t="shared" si="10"/>
        <v>이유재</v>
      </c>
    </row>
    <row r="26" spans="3:27">
      <c r="C26" s="538"/>
      <c r="D26" s="188" t="s">
        <v>17</v>
      </c>
      <c r="E26" s="273">
        <f>IFERROR(VLOOKUP(D26,'미니게임_DATA(순)'!$A$4:$EV$45,112,0),0)</f>
        <v>124</v>
      </c>
      <c r="F26" s="275"/>
      <c r="G26" s="527"/>
      <c r="H26" s="527"/>
      <c r="I26" s="273">
        <f>IFERROR(VLOOKUP(D26,'미니게임_DATA(순)'!$A$4:$EV$45,113,0),0)</f>
        <v>160</v>
      </c>
      <c r="J26" s="275"/>
      <c r="K26" s="527"/>
      <c r="L26" s="527"/>
      <c r="M26" s="273">
        <f>IFERROR(VLOOKUP(D26,'미니게임_DATA(순)'!$A$4:$EV$45,114,0),0)</f>
        <v>152</v>
      </c>
      <c r="N26" s="275"/>
      <c r="O26" s="527"/>
      <c r="P26" s="527"/>
      <c r="Q26" s="275">
        <f t="shared" si="0"/>
        <v>436</v>
      </c>
      <c r="R26" s="276">
        <f t="shared" si="14"/>
        <v>145.33333333333334</v>
      </c>
      <c r="S26" s="530"/>
      <c r="T26" s="533"/>
      <c r="U26" s="190">
        <f>IFERROR(R26-VLOOKUP(D26,'미니게임_DATA(순)'!$A:$FB,MATCH("rct 20g avg",'미니게임_DATA(순)'!$A$3:$FB$3,0),0),0)</f>
        <v>-4.0166666666666515</v>
      </c>
      <c r="W26" s="185">
        <f t="shared" si="13"/>
        <v>160</v>
      </c>
      <c r="X26" s="267">
        <f>R26</f>
        <v>145.33333333333334</v>
      </c>
      <c r="Y26" s="267" t="str">
        <f>VLOOKUP(Z26,'미니게임_DATA(순)'!$A$4:$C$45,3,0)</f>
        <v>남</v>
      </c>
      <c r="Z26" s="187" t="str">
        <f t="shared" si="10"/>
        <v>한희용</v>
      </c>
    </row>
    <row r="27" spans="3:27">
      <c r="C27" s="538"/>
      <c r="D27" s="191" t="s">
        <v>333</v>
      </c>
      <c r="E27" s="273">
        <f>IFERROR(VLOOKUP(D27,'미니게임_DATA(순)'!$A$4:$EV$45,112,0),0)</f>
        <v>0</v>
      </c>
      <c r="F27" s="279"/>
      <c r="G27" s="527"/>
      <c r="H27" s="527"/>
      <c r="I27" s="273">
        <f>IFERROR(VLOOKUP(D27,'미니게임_DATA(순)'!$A$4:$EV$45,113,0),0)</f>
        <v>0</v>
      </c>
      <c r="J27" s="279"/>
      <c r="K27" s="527"/>
      <c r="L27" s="527"/>
      <c r="M27" s="273">
        <f>IFERROR(VLOOKUP(D27,'미니게임_DATA(순)'!$A$4:$EV$45,114,0),0)</f>
        <v>0</v>
      </c>
      <c r="N27" s="279"/>
      <c r="O27" s="527"/>
      <c r="P27" s="527"/>
      <c r="Q27" s="279">
        <f t="shared" si="0"/>
        <v>0</v>
      </c>
      <c r="R27" s="276">
        <f t="shared" ref="R27" si="15">Q27/3</f>
        <v>0</v>
      </c>
      <c r="S27" s="530"/>
      <c r="T27" s="533"/>
      <c r="U27" s="190">
        <f>IFERROR(R27-VLOOKUP(D27,'미니게임_DATA(순)'!$A:$FB,MATCH("rct 20g avg",'미니게임_DATA(순)'!$A$3:$FB$3,0),0),0)</f>
        <v>-120.66666666666667</v>
      </c>
      <c r="W27" s="185">
        <f t="shared" si="13"/>
        <v>0</v>
      </c>
      <c r="X27" s="267">
        <f>R27</f>
        <v>0</v>
      </c>
      <c r="Y27" s="267" t="e">
        <f>VLOOKUP(Z27,'미니게임_DATA(순)'!$A$4:$C$45,3,0)</f>
        <v>#N/A</v>
      </c>
      <c r="Z27" s="187" t="str">
        <f t="shared" si="10"/>
        <v>이해신</v>
      </c>
    </row>
    <row r="28" spans="3:27" ht="16.5">
      <c r="C28" s="539"/>
      <c r="D28" s="351"/>
      <c r="E28" s="535">
        <f>SUMIF(E24:F26, "&gt;0")</f>
        <v>499</v>
      </c>
      <c r="F28" s="498"/>
      <c r="G28" s="528"/>
      <c r="H28" s="528"/>
      <c r="I28" s="535">
        <f>SUMIF(I24:J26, "&gt;0")</f>
        <v>563</v>
      </c>
      <c r="J28" s="498"/>
      <c r="K28" s="528"/>
      <c r="L28" s="528"/>
      <c r="M28" s="535">
        <f>SUMIF(M24:N26, "&gt;0")</f>
        <v>512</v>
      </c>
      <c r="N28" s="498"/>
      <c r="O28" s="528"/>
      <c r="P28" s="528"/>
      <c r="Q28" s="272">
        <f t="shared" si="0"/>
        <v>1574</v>
      </c>
      <c r="R28" s="196"/>
      <c r="S28" s="531"/>
      <c r="T28" s="534"/>
      <c r="U28" s="277">
        <f>IFERROR(R28-VLOOKUP(D28,'미니게임_DATA(순)'!$A:$FB,MATCH("rct 20g avg",'미니게임_DATA(순)'!$A$3:$FB$3,0),0),0)</f>
        <v>0</v>
      </c>
      <c r="V28" s="185"/>
      <c r="W28" s="185"/>
      <c r="Z28" s="187">
        <f t="shared" si="10"/>
        <v>0</v>
      </c>
      <c r="AA28" s="187">
        <f>SUM(E28,I28)</f>
        <v>1062</v>
      </c>
    </row>
    <row r="29" spans="3:27">
      <c r="C29" s="537" t="s">
        <v>148</v>
      </c>
      <c r="D29" s="180"/>
      <c r="E29" s="273">
        <f>IFERROR(VLOOKUP(D29,'미니게임_DATA(순)'!$A$5:$EV$42,108,0),0)</f>
        <v>0</v>
      </c>
      <c r="F29" s="273"/>
      <c r="G29" s="526">
        <f>RANK(E33,($E$18,$E$23,$E$28,$E$33,$E$38))</f>
        <v>4</v>
      </c>
      <c r="H29" s="526">
        <f t="shared" ref="H29" si="16">G29</f>
        <v>4</v>
      </c>
      <c r="I29" s="273">
        <f>IFERROR(VLOOKUP(D29,'미니게임_DATA(순)'!$A$5:$EV$42,109,0),0)</f>
        <v>0</v>
      </c>
      <c r="J29" s="273"/>
      <c r="K29" s="526">
        <f>RANK(I33,($I$18,$I$23,$I$28,$I$33,I$38))</f>
        <v>4</v>
      </c>
      <c r="L29" s="526">
        <f>RANK(AA33,($AA$18,$AA$23,$AA$28,$AA$33,$AA$38))</f>
        <v>4</v>
      </c>
      <c r="M29" s="273">
        <f>IFERROR(VLOOKUP(D29,'미니게임_DATA(순)'!$A$5:$EV$42,110,0),0)</f>
        <v>0</v>
      </c>
      <c r="N29" s="273"/>
      <c r="O29" s="526">
        <f>RANK(M33,($M$18,$M$23,$M$28,$M$33,$M$38))</f>
        <v>4</v>
      </c>
      <c r="P29" s="526">
        <f t="shared" ref="P29" si="17">S29</f>
        <v>4</v>
      </c>
      <c r="Q29" s="273">
        <f t="shared" si="0"/>
        <v>0</v>
      </c>
      <c r="R29" s="274">
        <f>AVERAGE(E29,I29,M29)</f>
        <v>0</v>
      </c>
      <c r="S29" s="529">
        <f>RANK(Q33,($Q$18,$Q$23,$Q$28,$Q$33,$Q$38))</f>
        <v>4</v>
      </c>
      <c r="T29" s="532">
        <f>MAX($Q$18,$Q$23,Q$28,Q$33,Q$38)-Q33</f>
        <v>1574</v>
      </c>
      <c r="U29" s="184">
        <f>IFERROR(R29-VLOOKUP(D29,'미니게임_DATA(순)'!$A:$FB,MATCH("rct 20g avg",'미니게임_DATA(순)'!$A$3:$FB$3,0),0),0)</f>
        <v>0</v>
      </c>
      <c r="W29" s="185">
        <f t="shared" ref="W29:W30" si="18">MAX(E29,I29,M29)</f>
        <v>0</v>
      </c>
      <c r="X29" s="267">
        <f>R29</f>
        <v>0</v>
      </c>
      <c r="Y29" s="267" t="str">
        <f>IFERROR(VLOOKUP(Z29,'미니게임_DATA(순)'!$A$4:$C$45,3,0),"-")</f>
        <v>-</v>
      </c>
      <c r="Z29" s="187">
        <f t="shared" si="10"/>
        <v>0</v>
      </c>
    </row>
    <row r="30" spans="3:27">
      <c r="C30" s="538"/>
      <c r="D30" s="188"/>
      <c r="E30" s="306">
        <f>IFERROR(VLOOKUP(D30,'미니게임_DATA(순)'!$A$5:$EV$42,108,0),0)</f>
        <v>0</v>
      </c>
      <c r="F30" s="275"/>
      <c r="G30" s="527"/>
      <c r="H30" s="527"/>
      <c r="I30" s="306">
        <f>IFERROR(VLOOKUP(D30,'미니게임_DATA(순)'!$A$5:$EV$42,109,0),0)</f>
        <v>0</v>
      </c>
      <c r="J30" s="275"/>
      <c r="K30" s="527"/>
      <c r="L30" s="527"/>
      <c r="M30" s="306">
        <f>IFERROR(VLOOKUP(D30,'미니게임_DATA(순)'!$A$5:$EV$42,110,0),0)</f>
        <v>0</v>
      </c>
      <c r="N30" s="275"/>
      <c r="O30" s="527"/>
      <c r="P30" s="527"/>
      <c r="Q30" s="275">
        <f t="shared" si="0"/>
        <v>0</v>
      </c>
      <c r="R30" s="300">
        <f t="shared" ref="R30" si="19">AVERAGE(E30,I30,M30)</f>
        <v>0</v>
      </c>
      <c r="S30" s="530"/>
      <c r="T30" s="533"/>
      <c r="U30" s="190">
        <f>IFERROR(R30-VLOOKUP(D30,'미니게임_DATA(순)'!$A:$FB,MATCH("rct 20g avg",'미니게임_DATA(순)'!$A$3:$FB$3,0),0),0)</f>
        <v>0</v>
      </c>
      <c r="W30" s="185">
        <f t="shared" si="18"/>
        <v>0</v>
      </c>
      <c r="X30" s="267">
        <f>R30</f>
        <v>0</v>
      </c>
      <c r="Y30" s="267" t="str">
        <f>IFERROR(VLOOKUP(Z30,'미니게임_DATA(순)'!$A$4:$C$45,3,0),"-")</f>
        <v>-</v>
      </c>
      <c r="Z30" s="187">
        <f t="shared" si="10"/>
        <v>0</v>
      </c>
    </row>
    <row r="31" spans="3:27">
      <c r="C31" s="538"/>
      <c r="D31" s="342"/>
      <c r="E31" s="275"/>
      <c r="F31" s="275"/>
      <c r="G31" s="527"/>
      <c r="H31" s="527"/>
      <c r="I31" s="275"/>
      <c r="J31" s="275"/>
      <c r="K31" s="527"/>
      <c r="L31" s="527"/>
      <c r="M31" s="275"/>
      <c r="N31" s="275"/>
      <c r="O31" s="527"/>
      <c r="P31" s="527"/>
      <c r="Q31" s="275">
        <f t="shared" si="0"/>
        <v>0</v>
      </c>
      <c r="R31" s="276">
        <f t="shared" ref="R31:R32" si="20">Q31/3</f>
        <v>0</v>
      </c>
      <c r="S31" s="530"/>
      <c r="T31" s="533"/>
      <c r="U31" s="190">
        <f>IFERROR(R31-VLOOKUP(D31,'미니게임_DATA(순)'!$A:$FB,MATCH("rct 20g avg",'미니게임_DATA(순)'!$A$3:$FB$3,0),0),0)</f>
        <v>0</v>
      </c>
      <c r="W31" s="185"/>
      <c r="X31" s="267">
        <f>R31</f>
        <v>0</v>
      </c>
      <c r="Y31" s="267" t="str">
        <f>IFERROR(VLOOKUP(Z31,'미니게임_DATA(순)'!$A$4:$C$45,3,0),"-")</f>
        <v>-</v>
      </c>
      <c r="Z31" s="187">
        <f t="shared" si="10"/>
        <v>0</v>
      </c>
    </row>
    <row r="32" spans="3:27">
      <c r="C32" s="538"/>
      <c r="D32" s="188"/>
      <c r="E32" s="279"/>
      <c r="F32" s="279"/>
      <c r="G32" s="527"/>
      <c r="H32" s="527"/>
      <c r="I32" s="279"/>
      <c r="J32" s="279"/>
      <c r="K32" s="527"/>
      <c r="L32" s="527"/>
      <c r="M32" s="279">
        <f>IFERROR(VLOOKUP(D32,'미니게임_DATA(순)'!$A$5:$BU$38,73,0),0)</f>
        <v>0</v>
      </c>
      <c r="N32" s="279"/>
      <c r="O32" s="527"/>
      <c r="P32" s="527"/>
      <c r="Q32" s="279">
        <f t="shared" si="0"/>
        <v>0</v>
      </c>
      <c r="R32" s="276">
        <f t="shared" si="20"/>
        <v>0</v>
      </c>
      <c r="S32" s="530"/>
      <c r="T32" s="533"/>
      <c r="U32" s="190">
        <f>IFERROR(R32-VLOOKUP(D32,'미니게임_DATA(순)'!$A:$FB,MATCH("rct 20g avg",'미니게임_DATA(순)'!$A$3:$FB$3,0),0),0)</f>
        <v>0</v>
      </c>
      <c r="W32" s="185"/>
      <c r="Y32" s="267" t="str">
        <f>IFERROR(VLOOKUP(Z32,'미니게임_DATA(순)'!$A$4:$C$45,3,0),"-")</f>
        <v>-</v>
      </c>
      <c r="Z32" s="187"/>
    </row>
    <row r="33" spans="2:28" ht="16.5">
      <c r="C33" s="539"/>
      <c r="D33" s="351"/>
      <c r="E33" s="535">
        <f>SUMIF(E29:F32, "&gt;0")</f>
        <v>0</v>
      </c>
      <c r="F33" s="498"/>
      <c r="G33" s="528"/>
      <c r="H33" s="528"/>
      <c r="I33" s="535">
        <f>SUMIF(I29:J32, "&gt;0")</f>
        <v>0</v>
      </c>
      <c r="J33" s="498"/>
      <c r="K33" s="528"/>
      <c r="L33" s="528"/>
      <c r="M33" s="535">
        <f>SUMIF(M29:N32, "&gt;0")</f>
        <v>0</v>
      </c>
      <c r="N33" s="498"/>
      <c r="O33" s="528"/>
      <c r="P33" s="528"/>
      <c r="Q33" s="272">
        <f t="shared" si="0"/>
        <v>0</v>
      </c>
      <c r="R33" s="196"/>
      <c r="S33" s="531"/>
      <c r="T33" s="534"/>
      <c r="U33" s="277">
        <f>IFERROR(R33-VLOOKUP(D33,'미니게임_DATA(순)'!$A:$FB,MATCH("rct 20g avg",'미니게임_DATA(순)'!$A$3:$FB$3,0),0),0)</f>
        <v>0</v>
      </c>
      <c r="V33" s="185"/>
      <c r="W33" s="185"/>
      <c r="Y33" s="267" t="str">
        <f>IFERROR(VLOOKUP(Z33,'미니게임_DATA(순)'!$A$4:$C$45,3,0),"-")</f>
        <v>-</v>
      </c>
      <c r="Z33" s="187">
        <f>D33</f>
        <v>0</v>
      </c>
      <c r="AA33" s="187">
        <f>SUM(E33,I33)</f>
        <v>0</v>
      </c>
    </row>
    <row r="34" spans="2:28">
      <c r="C34" s="537" t="s">
        <v>149</v>
      </c>
      <c r="D34" s="180"/>
      <c r="E34" s="273">
        <f>IFERROR(VLOOKUP(D34,'미니게임_DATA(순)'!$A$5:$EV$42,108,0),0)</f>
        <v>0</v>
      </c>
      <c r="F34" s="273"/>
      <c r="G34" s="526">
        <f>RANK(E38,($E$18,$E$23,$E$28,$E$33,$E$38))</f>
        <v>4</v>
      </c>
      <c r="H34" s="526">
        <f t="shared" ref="H34" si="21">G34</f>
        <v>4</v>
      </c>
      <c r="I34" s="273">
        <f>IFERROR(VLOOKUP(D34,'미니게임_DATA(순)'!$A$5:$EV$42,109,0),0)</f>
        <v>0</v>
      </c>
      <c r="J34" s="273"/>
      <c r="K34" s="526">
        <f>RANK(I38,($I$18,$I$23,$I$28,$I$33,I$38))</f>
        <v>4</v>
      </c>
      <c r="L34" s="526">
        <f>RANK(AA38,($AA$18,$AA$23,$AA$28,$AA$33,$AA$38))</f>
        <v>4</v>
      </c>
      <c r="M34" s="273">
        <f>IFERROR(VLOOKUP(D34,'미니게임_DATA(순)'!$A$5:$EV$42,110,0),0)</f>
        <v>0</v>
      </c>
      <c r="N34" s="273"/>
      <c r="O34" s="526">
        <f>RANK(M38,($M$18,$M$23,$M$28,$M$33,$M$38))</f>
        <v>4</v>
      </c>
      <c r="P34" s="526">
        <f t="shared" ref="P34" si="22">S34</f>
        <v>4</v>
      </c>
      <c r="Q34" s="273">
        <f t="shared" si="0"/>
        <v>0</v>
      </c>
      <c r="R34" s="274">
        <f>AVERAGE(E34,I34,M34)</f>
        <v>0</v>
      </c>
      <c r="S34" s="529">
        <f>RANK(Q38,($Q$18,$Q$23,$Q$28,$Q$33,$Q$38))</f>
        <v>4</v>
      </c>
      <c r="T34" s="532">
        <f>MAX($Q$18,$Q$23,Q$28,Q$33,Q$38)-Q38</f>
        <v>1574</v>
      </c>
      <c r="U34" s="184">
        <f>IFERROR(R34-VLOOKUP(D34,'미니게임_DATA(순)'!$A:$FB,MATCH("rct 20g avg",'미니게임_DATA(순)'!$A$3:$FB$3,0),0),0)</f>
        <v>0</v>
      </c>
      <c r="W34" s="185">
        <f t="shared" ref="W34:W36" si="23">MAX(E34,I34,M34)</f>
        <v>0</v>
      </c>
      <c r="X34" s="267">
        <f>R34</f>
        <v>0</v>
      </c>
      <c r="Y34" s="267" t="str">
        <f>IFERROR(VLOOKUP(Z34,'미니게임_DATA(순)'!$A$4:$C$45,3,0),"-")</f>
        <v>-</v>
      </c>
      <c r="Z34" s="187">
        <f>D34</f>
        <v>0</v>
      </c>
    </row>
    <row r="35" spans="2:28" s="172" customFormat="1">
      <c r="B35" s="169"/>
      <c r="C35" s="538"/>
      <c r="D35" s="188"/>
      <c r="E35" s="306">
        <f>IFERROR(VLOOKUP(D35,'미니게임_DATA(순)'!$A$5:$EV$42,108,0),0)</f>
        <v>0</v>
      </c>
      <c r="F35" s="275"/>
      <c r="G35" s="527"/>
      <c r="H35" s="527"/>
      <c r="I35" s="306">
        <f>IFERROR(VLOOKUP(D35,'미니게임_DATA(순)'!$A$5:$EV$42,109,0),0)</f>
        <v>0</v>
      </c>
      <c r="J35" s="275"/>
      <c r="K35" s="527"/>
      <c r="L35" s="527"/>
      <c r="M35" s="306">
        <f>IFERROR(VLOOKUP(D35,'미니게임_DATA(순)'!$A$5:$EV$42,110,0),0)</f>
        <v>0</v>
      </c>
      <c r="N35" s="275"/>
      <c r="O35" s="527"/>
      <c r="P35" s="527"/>
      <c r="Q35" s="275">
        <f t="shared" si="0"/>
        <v>0</v>
      </c>
      <c r="R35" s="300">
        <f t="shared" ref="R35:R36" si="24">AVERAGE(E35,I35,M35)</f>
        <v>0</v>
      </c>
      <c r="S35" s="530"/>
      <c r="T35" s="533"/>
      <c r="U35" s="190">
        <f>IFERROR(R35-VLOOKUP(D35,'미니게임_DATA(순)'!$A:$FB,MATCH("rct 20g avg",'미니게임_DATA(순)'!$A$3:$FB$3,0),0),0)</f>
        <v>0</v>
      </c>
      <c r="W35" s="185">
        <f t="shared" si="23"/>
        <v>0</v>
      </c>
      <c r="X35" s="267">
        <f>R35</f>
        <v>0</v>
      </c>
      <c r="Y35" s="267" t="str">
        <f>IFERROR(VLOOKUP(Z35,'미니게임_DATA(순)'!$A$4:$C$45,3,0),"-")</f>
        <v>-</v>
      </c>
      <c r="Z35" s="187">
        <f>D35</f>
        <v>0</v>
      </c>
      <c r="AA35" s="169"/>
      <c r="AB35" s="169"/>
    </row>
    <row r="36" spans="2:28" s="172" customFormat="1">
      <c r="B36" s="169"/>
      <c r="C36" s="538"/>
      <c r="D36" s="188"/>
      <c r="E36" s="275">
        <f>IFERROR(VLOOKUP(D36,'미니게임_DATA(순)'!$A$5:$EV$42,108,0),0)</f>
        <v>0</v>
      </c>
      <c r="F36" s="275"/>
      <c r="G36" s="527"/>
      <c r="H36" s="527"/>
      <c r="I36" s="275">
        <f>IFERROR(VLOOKUP(D36,'미니게임_DATA(순)'!$A$5:$EV$42,109,0),0)</f>
        <v>0</v>
      </c>
      <c r="J36" s="275"/>
      <c r="K36" s="527"/>
      <c r="L36" s="527"/>
      <c r="M36" s="275">
        <f>IFERROR(VLOOKUP(D36,'미니게임_DATA(순)'!$A$5:$EV$42,110,0),0)</f>
        <v>0</v>
      </c>
      <c r="N36" s="275"/>
      <c r="O36" s="527"/>
      <c r="P36" s="527"/>
      <c r="Q36" s="275">
        <f t="shared" si="0"/>
        <v>0</v>
      </c>
      <c r="R36" s="276">
        <f t="shared" si="24"/>
        <v>0</v>
      </c>
      <c r="S36" s="530"/>
      <c r="T36" s="533"/>
      <c r="U36" s="190">
        <f>IFERROR(R36-VLOOKUP(D36,'미니게임_DATA(순)'!$A:$FB,MATCH("rct 20g avg",'미니게임_DATA(순)'!$A$3:$FB$3,0),0),0)</f>
        <v>0</v>
      </c>
      <c r="W36" s="185">
        <f t="shared" si="23"/>
        <v>0</v>
      </c>
      <c r="X36" s="267">
        <f>R36</f>
        <v>0</v>
      </c>
      <c r="Y36" s="267" t="str">
        <f>IFERROR(VLOOKUP(Z36,'미니게임_DATA(순)'!$A$4:$C$45,3,0),"-")</f>
        <v>-</v>
      </c>
      <c r="Z36" s="187">
        <f>D36</f>
        <v>0</v>
      </c>
      <c r="AA36" s="169"/>
      <c r="AB36" s="169"/>
    </row>
    <row r="37" spans="2:28">
      <c r="C37" s="538"/>
      <c r="D37" s="188"/>
      <c r="E37" s="279"/>
      <c r="F37" s="279"/>
      <c r="G37" s="527"/>
      <c r="H37" s="527"/>
      <c r="I37" s="279"/>
      <c r="J37" s="279"/>
      <c r="K37" s="527"/>
      <c r="L37" s="527"/>
      <c r="M37" s="279"/>
      <c r="N37" s="279"/>
      <c r="O37" s="527"/>
      <c r="P37" s="527"/>
      <c r="Q37" s="279">
        <f t="shared" si="0"/>
        <v>0</v>
      </c>
      <c r="R37" s="276">
        <f t="shared" ref="R37" si="25">Q37/3</f>
        <v>0</v>
      </c>
      <c r="S37" s="530"/>
      <c r="T37" s="533"/>
      <c r="U37" s="190">
        <f>IFERROR(R37-VLOOKUP(D37,'미니게임_DATA(순)'!$A:$FB,MATCH("rct 20g avg",'미니게임_DATA(순)'!$A$3:$FB$3,0),0),0)</f>
        <v>0</v>
      </c>
      <c r="W37" s="185"/>
      <c r="Z37" s="187"/>
    </row>
    <row r="38" spans="2:28" ht="16.5">
      <c r="C38" s="539"/>
      <c r="D38" s="351"/>
      <c r="E38" s="535">
        <f>SUMIF(E34:F37, "&gt;0")</f>
        <v>0</v>
      </c>
      <c r="F38" s="498"/>
      <c r="G38" s="528"/>
      <c r="H38" s="528"/>
      <c r="I38" s="535">
        <f>SUMIF(I34:J37, "&gt;0")</f>
        <v>0</v>
      </c>
      <c r="J38" s="498"/>
      <c r="K38" s="528"/>
      <c r="L38" s="528"/>
      <c r="M38" s="535">
        <f>SUMIF(M34:N37, "&gt;0")</f>
        <v>0</v>
      </c>
      <c r="N38" s="498"/>
      <c r="O38" s="528"/>
      <c r="P38" s="528"/>
      <c r="Q38" s="272">
        <f>E38+I38+M38</f>
        <v>0</v>
      </c>
      <c r="R38" s="278"/>
      <c r="S38" s="531"/>
      <c r="T38" s="534"/>
      <c r="U38" s="277">
        <f>IFERROR(R38-VLOOKUP(D38,'미니게임_DATA(순)'!$A:$FB,MATCH("rct 20g avg",'미니게임_DATA(순)'!$A$3:$FB$3,0),0),0)</f>
        <v>0</v>
      </c>
      <c r="V38" s="185"/>
      <c r="W38" s="185"/>
      <c r="Z38" s="187">
        <f>D38</f>
        <v>0</v>
      </c>
      <c r="AA38" s="187">
        <f>SUM(E38,I38)</f>
        <v>0</v>
      </c>
    </row>
  </sheetData>
  <mergeCells count="77">
    <mergeCell ref="P34:P38"/>
    <mergeCell ref="S34:S38"/>
    <mergeCell ref="T34:T38"/>
    <mergeCell ref="E38:F38"/>
    <mergeCell ref="I38:J38"/>
    <mergeCell ref="M38:N38"/>
    <mergeCell ref="O34:O38"/>
    <mergeCell ref="C34:C38"/>
    <mergeCell ref="G34:G38"/>
    <mergeCell ref="H34:H38"/>
    <mergeCell ref="K34:K38"/>
    <mergeCell ref="L34:L38"/>
    <mergeCell ref="P29:P33"/>
    <mergeCell ref="S29:S33"/>
    <mergeCell ref="T29:T33"/>
    <mergeCell ref="E33:F33"/>
    <mergeCell ref="I33:J33"/>
    <mergeCell ref="M33:N33"/>
    <mergeCell ref="O29:O33"/>
    <mergeCell ref="C29:C33"/>
    <mergeCell ref="G29:G33"/>
    <mergeCell ref="H29:H33"/>
    <mergeCell ref="K29:K33"/>
    <mergeCell ref="L29:L33"/>
    <mergeCell ref="P24:P28"/>
    <mergeCell ref="S24:S28"/>
    <mergeCell ref="T24:T28"/>
    <mergeCell ref="E28:F28"/>
    <mergeCell ref="I28:J28"/>
    <mergeCell ref="M28:N28"/>
    <mergeCell ref="O24:O28"/>
    <mergeCell ref="C24:C28"/>
    <mergeCell ref="G24:G28"/>
    <mergeCell ref="H24:H28"/>
    <mergeCell ref="K24:K28"/>
    <mergeCell ref="L24:L28"/>
    <mergeCell ref="P19:P23"/>
    <mergeCell ref="S19:S23"/>
    <mergeCell ref="T19:T23"/>
    <mergeCell ref="E23:F23"/>
    <mergeCell ref="I23:J23"/>
    <mergeCell ref="M23:N23"/>
    <mergeCell ref="O19:O23"/>
    <mergeCell ref="C19:C23"/>
    <mergeCell ref="G19:G23"/>
    <mergeCell ref="H19:H23"/>
    <mergeCell ref="K19:K23"/>
    <mergeCell ref="L19:L23"/>
    <mergeCell ref="P14:P18"/>
    <mergeCell ref="S14:S18"/>
    <mergeCell ref="T14:T18"/>
    <mergeCell ref="E18:F18"/>
    <mergeCell ref="I18:J18"/>
    <mergeCell ref="M18:N18"/>
    <mergeCell ref="U11:U13"/>
    <mergeCell ref="E12:H12"/>
    <mergeCell ref="I12:L12"/>
    <mergeCell ref="M12:P12"/>
    <mergeCell ref="C14:C18"/>
    <mergeCell ref="G14:G18"/>
    <mergeCell ref="H14:H18"/>
    <mergeCell ref="K14:K18"/>
    <mergeCell ref="L14:L18"/>
    <mergeCell ref="O14:O18"/>
    <mergeCell ref="C11:C13"/>
    <mergeCell ref="D11:D13"/>
    <mergeCell ref="E11:P11"/>
    <mergeCell ref="Q11:Q13"/>
    <mergeCell ref="R11:R13"/>
    <mergeCell ref="S11:T12"/>
    <mergeCell ref="B2:B3"/>
    <mergeCell ref="B4:B5"/>
    <mergeCell ref="B6:B9"/>
    <mergeCell ref="D6:E6"/>
    <mergeCell ref="D7:E7"/>
    <mergeCell ref="D8:E8"/>
    <mergeCell ref="D9:E9"/>
  </mergeCells>
  <phoneticPr fontId="2" type="noConversion"/>
  <conditionalFormatting sqref="G39:H1048576 O39:P1048576 K39:L1048576 O12:P13 G1:H13 K1:L13 O1:P10">
    <cfRule type="cellIs" dxfId="171" priority="9" operator="equal">
      <formula>1</formula>
    </cfRule>
  </conditionalFormatting>
  <conditionalFormatting sqref="P14:P38">
    <cfRule type="cellIs" dxfId="170" priority="7" operator="equal">
      <formula>1</formula>
    </cfRule>
  </conditionalFormatting>
  <conditionalFormatting sqref="G14:H14 G19:H19 H15:H18 G29:H29 H25:H28 G24:H24 H20:H23 H30:H33">
    <cfRule type="cellIs" dxfId="169" priority="8" operator="equal">
      <formula>1</formula>
    </cfRule>
  </conditionalFormatting>
  <conditionalFormatting sqref="K14:L14 K19 K29 K24 L15:L38">
    <cfRule type="cellIs" dxfId="168" priority="6" operator="equal">
      <formula>1</formula>
    </cfRule>
  </conditionalFormatting>
  <conditionalFormatting sqref="O14 O19 O29 O24">
    <cfRule type="cellIs" dxfId="167" priority="5" operator="equal">
      <formula>1</formula>
    </cfRule>
  </conditionalFormatting>
  <conditionalFormatting sqref="G34">
    <cfRule type="cellIs" dxfId="166" priority="4" operator="equal">
      <formula>1</formula>
    </cfRule>
  </conditionalFormatting>
  <conditionalFormatting sqref="H34:H38">
    <cfRule type="cellIs" dxfId="165" priority="3" operator="equal">
      <formula>1</formula>
    </cfRule>
  </conditionalFormatting>
  <conditionalFormatting sqref="K34">
    <cfRule type="cellIs" dxfId="164" priority="2" operator="equal">
      <formula>1</formula>
    </cfRule>
  </conditionalFormatting>
  <conditionalFormatting sqref="O34">
    <cfRule type="cellIs" dxfId="163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8"/>
  <sheetViews>
    <sheetView showGridLines="0" zoomScale="85" zoomScaleNormal="85" workbookViewId="0">
      <selection activeCell="AM38" sqref="AM38"/>
    </sheetView>
  </sheetViews>
  <sheetFormatPr defaultColWidth="9" defaultRowHeight="13.5"/>
  <cols>
    <col min="1" max="5" width="9" style="169"/>
    <col min="6" max="8" width="5.375" style="169" customWidth="1"/>
    <col min="9" max="9" width="9" style="169"/>
    <col min="10" max="12" width="5.375" style="169" customWidth="1"/>
    <col min="13" max="13" width="9" style="169"/>
    <col min="14" max="16" width="5.375" style="169" customWidth="1"/>
    <col min="17" max="17" width="7.375" style="170" customWidth="1"/>
    <col min="18" max="18" width="7.375" style="171" customWidth="1"/>
    <col min="19" max="20" width="7.375" style="169" customWidth="1"/>
    <col min="21" max="21" width="9" style="169"/>
    <col min="22" max="23" width="9" style="172" hidden="1" customWidth="1"/>
    <col min="24" max="25" width="9" style="267" hidden="1" customWidth="1"/>
    <col min="26" max="27" width="9" style="169" hidden="1" customWidth="1"/>
    <col min="28" max="28" width="9" style="169" customWidth="1"/>
    <col min="29" max="16384" width="9" style="169"/>
  </cols>
  <sheetData>
    <row r="2" spans="2:28">
      <c r="B2" s="550" t="s">
        <v>154</v>
      </c>
      <c r="C2" s="166" t="s">
        <v>156</v>
      </c>
      <c r="D2" s="167" t="e">
        <f>VLOOKUP(E2,W14:Z37,4,0)</f>
        <v>#N/A</v>
      </c>
      <c r="E2" s="198" t="e">
        <f t="array" ref="E2">MAX(IF(Y14:Y38="남",W14:W38))</f>
        <v>#N/A</v>
      </c>
      <c r="F2" s="268"/>
    </row>
    <row r="3" spans="2:28">
      <c r="B3" s="551"/>
      <c r="C3" s="166" t="s">
        <v>157</v>
      </c>
      <c r="D3" s="167" t="e">
        <f>VLOOKUP(E3,W15:Z38,4,0)</f>
        <v>#N/A</v>
      </c>
      <c r="E3" s="198" t="e">
        <f t="array" ref="E3">MAX(IF(Y15:Y39="여",W15:W39))</f>
        <v>#N/A</v>
      </c>
      <c r="F3" s="268"/>
    </row>
    <row r="4" spans="2:28">
      <c r="B4" s="550" t="s">
        <v>158</v>
      </c>
      <c r="C4" s="166" t="s">
        <v>156</v>
      </c>
      <c r="D4" s="167" t="e">
        <f>VLOOKUP(E4,X14:Z38,3,0)</f>
        <v>#N/A</v>
      </c>
      <c r="E4" s="168" t="e">
        <f t="array" ref="E4">MAX(IF(Y14:Y38="남",X14:X38))</f>
        <v>#N/A</v>
      </c>
      <c r="F4" s="268"/>
    </row>
    <row r="5" spans="2:28">
      <c r="B5" s="551"/>
      <c r="C5" s="166" t="s">
        <v>157</v>
      </c>
      <c r="D5" s="167" t="e">
        <f>VLOOKUP(E5,X15:Z39,3,0)</f>
        <v>#N/A</v>
      </c>
      <c r="E5" s="168" t="e">
        <f t="array" ref="E5">MAX(IF(Y14:Y38="여",X14:X38))</f>
        <v>#N/A</v>
      </c>
      <c r="F5" s="268"/>
    </row>
    <row r="6" spans="2:28" ht="16.5">
      <c r="B6" s="550" t="s">
        <v>224</v>
      </c>
      <c r="C6" s="235" t="s">
        <v>154</v>
      </c>
      <c r="D6" s="554" t="s">
        <v>325</v>
      </c>
      <c r="E6" s="472"/>
      <c r="F6" s="269"/>
    </row>
    <row r="7" spans="2:28" ht="16.5">
      <c r="B7" s="552"/>
      <c r="C7" s="235" t="s">
        <v>226</v>
      </c>
      <c r="D7" s="554" t="s">
        <v>20</v>
      </c>
      <c r="E7" s="472"/>
      <c r="F7" s="269"/>
    </row>
    <row r="8" spans="2:28" ht="16.5">
      <c r="B8" s="552"/>
      <c r="C8" s="235" t="s">
        <v>88</v>
      </c>
      <c r="D8" s="554"/>
      <c r="E8" s="498"/>
      <c r="F8" s="270"/>
    </row>
    <row r="9" spans="2:28" ht="16.5">
      <c r="B9" s="553"/>
      <c r="C9" s="235" t="s">
        <v>227</v>
      </c>
      <c r="D9" s="554" t="s">
        <v>37</v>
      </c>
      <c r="E9" s="472"/>
      <c r="F9" s="269"/>
    </row>
    <row r="11" spans="2:28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545"/>
      <c r="M11" s="545"/>
      <c r="N11" s="546"/>
      <c r="O11" s="546"/>
      <c r="P11" s="496"/>
      <c r="Q11" s="547" t="s">
        <v>142</v>
      </c>
      <c r="R11" s="548" t="s">
        <v>184</v>
      </c>
      <c r="S11" s="542" t="s">
        <v>169</v>
      </c>
      <c r="T11" s="542"/>
      <c r="U11" s="542" t="s">
        <v>143</v>
      </c>
    </row>
    <row r="12" spans="2:28">
      <c r="C12" s="543"/>
      <c r="D12" s="543"/>
      <c r="E12" s="543">
        <v>1</v>
      </c>
      <c r="F12" s="543"/>
      <c r="G12" s="543"/>
      <c r="H12" s="543"/>
      <c r="I12" s="543">
        <v>2</v>
      </c>
      <c r="J12" s="543"/>
      <c r="K12" s="543"/>
      <c r="L12" s="543"/>
      <c r="M12" s="543">
        <v>3</v>
      </c>
      <c r="N12" s="543"/>
      <c r="O12" s="543"/>
      <c r="P12" s="543"/>
      <c r="Q12" s="547"/>
      <c r="R12" s="549"/>
      <c r="S12" s="542"/>
      <c r="T12" s="542"/>
      <c r="U12" s="542"/>
      <c r="AB12" s="172"/>
    </row>
    <row r="13" spans="2:28" ht="27">
      <c r="C13" s="543"/>
      <c r="D13" s="543"/>
      <c r="E13" s="330" t="s">
        <v>150</v>
      </c>
      <c r="F13" s="329" t="s">
        <v>302</v>
      </c>
      <c r="G13" s="329" t="s">
        <v>152</v>
      </c>
      <c r="H13" s="329" t="s">
        <v>153</v>
      </c>
      <c r="I13" s="330" t="s">
        <v>150</v>
      </c>
      <c r="J13" s="329" t="s">
        <v>302</v>
      </c>
      <c r="K13" s="329" t="s">
        <v>152</v>
      </c>
      <c r="L13" s="329" t="s">
        <v>153</v>
      </c>
      <c r="M13" s="330" t="s">
        <v>150</v>
      </c>
      <c r="N13" s="329" t="s">
        <v>302</v>
      </c>
      <c r="O13" s="329" t="s">
        <v>152</v>
      </c>
      <c r="P13" s="329" t="s">
        <v>153</v>
      </c>
      <c r="Q13" s="547"/>
      <c r="R13" s="549"/>
      <c r="S13" s="329" t="s">
        <v>144</v>
      </c>
      <c r="T13" s="330" t="s">
        <v>168</v>
      </c>
      <c r="U13" s="543"/>
      <c r="W13" s="172" t="s">
        <v>170</v>
      </c>
      <c r="X13" s="267" t="s">
        <v>171</v>
      </c>
    </row>
    <row r="14" spans="2:28">
      <c r="C14" s="537" t="s">
        <v>145</v>
      </c>
      <c r="D14" s="180" t="s">
        <v>8</v>
      </c>
      <c r="E14" s="273">
        <f>IFERROR(VLOOKUP($D14,'미니게임_DATA(순)'!$A$4:$EV$45,109,0),0)</f>
        <v>177</v>
      </c>
      <c r="F14" s="273"/>
      <c r="G14" s="526">
        <f>RANK(E18,($E$18,$E$23,$E$28,$E$33,E$38))</f>
        <v>2</v>
      </c>
      <c r="H14" s="526">
        <f>G14</f>
        <v>2</v>
      </c>
      <c r="I14" s="273">
        <f>IFERROR(VLOOKUP($D14,'미니게임_DATA(순)'!$A$4:$EV$45,110,0),0)</f>
        <v>165</v>
      </c>
      <c r="J14" s="273"/>
      <c r="K14" s="526">
        <f>RANK(I18,($I$18,$I$23,$I$28,$I$33,I$38))</f>
        <v>1</v>
      </c>
      <c r="L14" s="526">
        <f>RANK(AA18,($AA$18,$AA$23,$AA$28,$AA$33,$AA$38))</f>
        <v>1</v>
      </c>
      <c r="M14" s="273">
        <f>IFERROR(VLOOKUP($D14,'미니게임_DATA(순)'!$A$4:$EV$45,111,0),0)</f>
        <v>151</v>
      </c>
      <c r="N14" s="273"/>
      <c r="O14" s="526">
        <f>RANK(M18,($M$18,$M$23,$M$28,$M$33,$M$38))</f>
        <v>1</v>
      </c>
      <c r="P14" s="526">
        <f>S14</f>
        <v>1</v>
      </c>
      <c r="Q14" s="273">
        <f t="shared" ref="Q14:Q33" si="0">E14+I14+M14</f>
        <v>493</v>
      </c>
      <c r="R14" s="274">
        <f>AVERAGE(E14,I14,M14)</f>
        <v>164.33333333333334</v>
      </c>
      <c r="S14" s="529">
        <f>RANK(Q18,($Q$18,$Q$23,$Q$28,$Q$33,$Q$38))</f>
        <v>1</v>
      </c>
      <c r="T14" s="541">
        <f>MAX($Q$18,$Q$23,Q$28,Q$33,Q$38)-Q18</f>
        <v>0</v>
      </c>
      <c r="U14" s="184">
        <f>IFERROR(R14-VLOOKUP(D14,'미니게임_DATA(순)'!$A:$FB,MATCH("rct 10g avg",'미니게임_DATA(순)'!$A$3:$FB$3,0),0),0)</f>
        <v>-20.966666666666669</v>
      </c>
      <c r="W14" s="185">
        <f>MAX(E14,I14,M14)</f>
        <v>177</v>
      </c>
      <c r="X14" s="267">
        <f>R14</f>
        <v>164.33333333333334</v>
      </c>
      <c r="Y14" s="267" t="str">
        <f>VLOOKUP(Z14,'미니게임_DATA(순)'!$A$4:$C$42,3,0)</f>
        <v>남</v>
      </c>
      <c r="Z14" s="187" t="str">
        <f>D14</f>
        <v>조문수</v>
      </c>
    </row>
    <row r="15" spans="2:28">
      <c r="C15" s="538"/>
      <c r="D15" s="188" t="s">
        <v>38</v>
      </c>
      <c r="E15" s="275">
        <f>IFERROR(VLOOKUP($D15,'미니게임_DATA(순)'!$A$4:$EV$45,109,0),0)</f>
        <v>162</v>
      </c>
      <c r="F15" s="275"/>
      <c r="G15" s="527"/>
      <c r="H15" s="527"/>
      <c r="I15" s="275">
        <f>IFERROR(VLOOKUP($D15,'미니게임_DATA(순)'!$A$4:$EV$45,110,0),0)</f>
        <v>178</v>
      </c>
      <c r="J15" s="275"/>
      <c r="K15" s="527"/>
      <c r="L15" s="527"/>
      <c r="M15" s="275">
        <f>IFERROR(VLOOKUP($D15,'미니게임_DATA(순)'!$A$4:$EV$45,111,0),0)</f>
        <v>181</v>
      </c>
      <c r="N15" s="275"/>
      <c r="O15" s="527"/>
      <c r="P15" s="527"/>
      <c r="Q15" s="275">
        <f t="shared" ref="Q15:Q16" si="1">E15+I15+M15</f>
        <v>521</v>
      </c>
      <c r="R15" s="300">
        <f t="shared" ref="R15:R16" si="2">AVERAGE(E15,I15,M15)</f>
        <v>173.66666666666666</v>
      </c>
      <c r="S15" s="530"/>
      <c r="T15" s="527"/>
      <c r="U15" s="190">
        <f>IFERROR(R15-VLOOKUP(D15,'미니게임_DATA(순)'!$A:$FB,MATCH("rct 10g avg",'미니게임_DATA(순)'!$A$3:$FB$3,0),0),0)</f>
        <v>11.966666666666669</v>
      </c>
      <c r="W15" s="185">
        <f t="shared" ref="W15:W16" si="3">MAX(E15,I15,M15)</f>
        <v>181</v>
      </c>
      <c r="X15" s="267">
        <f t="shared" ref="X15:X16" si="4">R15</f>
        <v>173.66666666666666</v>
      </c>
      <c r="Y15" s="267" t="str">
        <f>VLOOKUP(Z15,'미니게임_DATA(순)'!$A$6:$C$42,3,0)</f>
        <v>남</v>
      </c>
      <c r="Z15" s="187" t="str">
        <f>D15</f>
        <v>이수용</v>
      </c>
    </row>
    <row r="16" spans="2:28">
      <c r="C16" s="538"/>
      <c r="D16" s="188" t="s">
        <v>12</v>
      </c>
      <c r="E16" s="275">
        <f>IFERROR(VLOOKUP($D16,'미니게임_DATA(순)'!$A$4:$EV$45,109,0),0)</f>
        <v>177</v>
      </c>
      <c r="F16" s="275"/>
      <c r="G16" s="527"/>
      <c r="H16" s="527"/>
      <c r="I16" s="275">
        <f>IFERROR(VLOOKUP($D16,'미니게임_DATA(순)'!$A$4:$EV$45,110,0),0)</f>
        <v>191</v>
      </c>
      <c r="J16" s="275"/>
      <c r="K16" s="527"/>
      <c r="L16" s="527"/>
      <c r="M16" s="275">
        <f>IFERROR(VLOOKUP($D16,'미니게임_DATA(순)'!$A$4:$EV$45,111,0),0)</f>
        <v>137</v>
      </c>
      <c r="N16" s="275"/>
      <c r="O16" s="527"/>
      <c r="P16" s="527"/>
      <c r="Q16" s="275">
        <f t="shared" si="1"/>
        <v>505</v>
      </c>
      <c r="R16" s="276">
        <f t="shared" si="2"/>
        <v>168.33333333333334</v>
      </c>
      <c r="S16" s="530"/>
      <c r="T16" s="527"/>
      <c r="U16" s="190">
        <f>IFERROR(R16-VLOOKUP(D16,'미니게임_DATA(순)'!$A:$FB,MATCH("rct 10g avg",'미니게임_DATA(순)'!$A$3:$FB$3,0),0),0)</f>
        <v>30.933333333333337</v>
      </c>
      <c r="W16" s="185">
        <f t="shared" si="3"/>
        <v>191</v>
      </c>
      <c r="X16" s="267">
        <f t="shared" si="4"/>
        <v>168.33333333333334</v>
      </c>
      <c r="Y16" s="267" t="str">
        <f>VLOOKUP(Z16,'미니게임_DATA(순)'!$A$6:$C$42,3,0)</f>
        <v>여</v>
      </c>
      <c r="Z16" s="187" t="str">
        <f>D16</f>
        <v>성소라</v>
      </c>
    </row>
    <row r="17" spans="3:27">
      <c r="C17" s="538"/>
      <c r="D17" s="191"/>
      <c r="E17" s="279"/>
      <c r="F17" s="279"/>
      <c r="G17" s="527"/>
      <c r="H17" s="527"/>
      <c r="I17" s="279"/>
      <c r="J17" s="279"/>
      <c r="K17" s="527"/>
      <c r="L17" s="527"/>
      <c r="M17" s="279"/>
      <c r="N17" s="279"/>
      <c r="O17" s="527"/>
      <c r="P17" s="527"/>
      <c r="Q17" s="279">
        <f t="shared" si="0"/>
        <v>0</v>
      </c>
      <c r="R17" s="276">
        <f t="shared" ref="R17" si="5">Q17/3</f>
        <v>0</v>
      </c>
      <c r="S17" s="530"/>
      <c r="T17" s="527"/>
      <c r="U17" s="190">
        <f>IFERROR(R17-VLOOKUP(D17,'미니게임_DATA(순)'!$A:$FB,MATCH("rct 10g avg",'미니게임_DATA(순)'!$A$3:$FB$3,0),0),0)</f>
        <v>0</v>
      </c>
      <c r="W17" s="185"/>
      <c r="Z17" s="187"/>
    </row>
    <row r="18" spans="3:27" ht="16.5">
      <c r="C18" s="539"/>
      <c r="D18" s="328"/>
      <c r="E18" s="535">
        <f>SUMIF(E14:F17, "&gt;0")</f>
        <v>516</v>
      </c>
      <c r="F18" s="498"/>
      <c r="G18" s="528"/>
      <c r="H18" s="528"/>
      <c r="I18" s="535">
        <f>SUMIF(I14:I17, "&gt;0")</f>
        <v>534</v>
      </c>
      <c r="J18" s="498"/>
      <c r="K18" s="528"/>
      <c r="L18" s="528"/>
      <c r="M18" s="535">
        <f>SUMIF(M14:M17, "&gt;0")</f>
        <v>469</v>
      </c>
      <c r="N18" s="498"/>
      <c r="O18" s="528"/>
      <c r="P18" s="528"/>
      <c r="Q18" s="272">
        <f t="shared" si="0"/>
        <v>1519</v>
      </c>
      <c r="R18" s="196"/>
      <c r="S18" s="531"/>
      <c r="T18" s="528"/>
      <c r="U18" s="277">
        <f>IFERROR(R18-VLOOKUP(D18,'미니게임_DATA(순)'!$A:$FB,MATCH("rct 10g avg",'미니게임_DATA(순)'!$A$3:$FB$3,0),0),0)</f>
        <v>0</v>
      </c>
      <c r="V18" s="185"/>
      <c r="W18" s="185"/>
      <c r="Z18" s="187">
        <f>D18</f>
        <v>0</v>
      </c>
      <c r="AA18" s="187">
        <f>SUM(E18,I18)</f>
        <v>1050</v>
      </c>
    </row>
    <row r="19" spans="3:27">
      <c r="C19" s="537" t="s">
        <v>146</v>
      </c>
      <c r="D19" s="180" t="s">
        <v>20</v>
      </c>
      <c r="E19" s="273">
        <f>IFERROR(VLOOKUP($D19,'미니게임_DATA(순)'!$A$4:$EV$45,109,0),0)</f>
        <v>253</v>
      </c>
      <c r="F19" s="273"/>
      <c r="G19" s="526">
        <f>RANK(E23,($E$18,$E$23,$E$28,$E$33,E$38))</f>
        <v>1</v>
      </c>
      <c r="H19" s="526">
        <f t="shared" ref="H19" si="6">G19</f>
        <v>1</v>
      </c>
      <c r="I19" s="275">
        <f>IFERROR(VLOOKUP($D19,'미니게임_DATA(순)'!$A$4:$EV$45,110,0),0)</f>
        <v>170</v>
      </c>
      <c r="J19" s="273"/>
      <c r="K19" s="526">
        <f>RANK(I23,($I$18,$I$23,$I$28,$I$33,I$38))</f>
        <v>2</v>
      </c>
      <c r="L19" s="526">
        <f>RANK(AA23,($AA$18,$AA$23,$AA$28,$AA$33,$AA$38))</f>
        <v>2</v>
      </c>
      <c r="M19" s="275">
        <f>IFERROR(VLOOKUP($D19,'미니게임_DATA(순)'!$A$4:$EV$45,111,0),0)</f>
        <v>147</v>
      </c>
      <c r="N19" s="273"/>
      <c r="O19" s="526">
        <f>RANK(M23,($M$18,$M$23,$M$28,$M$33,$M$38))</f>
        <v>3</v>
      </c>
      <c r="P19" s="526">
        <f t="shared" ref="P19" si="7">S19</f>
        <v>2</v>
      </c>
      <c r="Q19" s="273">
        <f t="shared" ref="Q19:Q21" si="8">E19+I19+M19</f>
        <v>570</v>
      </c>
      <c r="R19" s="274">
        <f>AVERAGE(E19,I19,M19)</f>
        <v>190</v>
      </c>
      <c r="S19" s="529">
        <f>RANK(Q23,($Q$18,$Q$23,$Q$28,$Q$33,$Q$38))</f>
        <v>2</v>
      </c>
      <c r="T19" s="532">
        <f>MAX($Q$18,$Q$23,Q$28,Q$33,Q$38)-Q23</f>
        <v>41</v>
      </c>
      <c r="U19" s="184">
        <f>IFERROR(R19-VLOOKUP(D19,'미니게임_DATA(순)'!$A:$FB,MATCH("rct 10g avg",'미니게임_DATA(순)'!$A$3:$FB$3,0),0),0)</f>
        <v>-10.900000000000006</v>
      </c>
      <c r="W19" s="185">
        <f>MAX(E19,I19,M19)</f>
        <v>253</v>
      </c>
      <c r="X19" s="267">
        <f>R19</f>
        <v>190</v>
      </c>
      <c r="Y19" s="267" t="str">
        <f>VLOOKUP(Z19,'미니게임_DATA(순)'!$A$6:$C$42,3,0)</f>
        <v>남</v>
      </c>
      <c r="Z19" s="187" t="str">
        <f>D19</f>
        <v>양근석</v>
      </c>
    </row>
    <row r="20" spans="3:27">
      <c r="C20" s="538"/>
      <c r="D20" s="188" t="s">
        <v>11</v>
      </c>
      <c r="E20" s="275">
        <f>IFERROR(VLOOKUP($D20,'미니게임_DATA(순)'!$A$4:$EV$45,109,0),0)</f>
        <v>144</v>
      </c>
      <c r="F20" s="275"/>
      <c r="G20" s="527"/>
      <c r="H20" s="527"/>
      <c r="I20" s="275">
        <f>IFERROR(VLOOKUP($D20,'미니게임_DATA(순)'!$A$4:$EV$45,110,0),0)</f>
        <v>161</v>
      </c>
      <c r="J20" s="275"/>
      <c r="K20" s="527"/>
      <c r="L20" s="527"/>
      <c r="M20" s="275">
        <f>IFERROR(VLOOKUP($D20,'미니게임_DATA(순)'!$A$4:$EV$45,111,0),0)</f>
        <v>124</v>
      </c>
      <c r="N20" s="275"/>
      <c r="O20" s="527"/>
      <c r="P20" s="527"/>
      <c r="Q20" s="275">
        <f t="shared" si="8"/>
        <v>429</v>
      </c>
      <c r="R20" s="300">
        <f t="shared" ref="R20:R21" si="9">AVERAGE(E20,I20,M20)</f>
        <v>143</v>
      </c>
      <c r="S20" s="530"/>
      <c r="T20" s="533"/>
      <c r="U20" s="190">
        <f>IFERROR(R20-VLOOKUP(D20,'미니게임_DATA(순)'!$A:$FB,MATCH("rct 10g avg",'미니게임_DATA(순)'!$A$3:$FB$3,0),0),0)</f>
        <v>-15.099999999999994</v>
      </c>
      <c r="W20" s="185">
        <f t="shared" ref="W20:W21" si="10">MAX(E20,I20,M20)</f>
        <v>161</v>
      </c>
      <c r="X20" s="267">
        <f>R20</f>
        <v>143</v>
      </c>
      <c r="Y20" s="267" t="str">
        <f>VLOOKUP(Z20,'미니게임_DATA(순)'!$A$6:$C$42,3,0)</f>
        <v>남</v>
      </c>
      <c r="Z20" s="187" t="str">
        <f>D20</f>
        <v>박용승</v>
      </c>
    </row>
    <row r="21" spans="3:27">
      <c r="C21" s="538"/>
      <c r="D21" s="188" t="s">
        <v>17</v>
      </c>
      <c r="E21" s="275">
        <f>IFERROR(VLOOKUP($D21,'미니게임_DATA(순)'!$A$4:$EV$45,109,0),0)</f>
        <v>169</v>
      </c>
      <c r="F21" s="275"/>
      <c r="G21" s="527"/>
      <c r="H21" s="527"/>
      <c r="I21" s="275">
        <f>IFERROR(VLOOKUP($D21,'미니게임_DATA(순)'!$A$4:$EV$45,110,0),0)</f>
        <v>142</v>
      </c>
      <c r="J21" s="275"/>
      <c r="K21" s="527"/>
      <c r="L21" s="527"/>
      <c r="M21" s="275">
        <f>IFERROR(VLOOKUP($D21,'미니게임_DATA(순)'!$A$4:$EV$45,111,0),0)</f>
        <v>168</v>
      </c>
      <c r="N21" s="275"/>
      <c r="O21" s="527"/>
      <c r="P21" s="527"/>
      <c r="Q21" s="275">
        <f t="shared" si="8"/>
        <v>479</v>
      </c>
      <c r="R21" s="276">
        <f t="shared" si="9"/>
        <v>159.66666666666666</v>
      </c>
      <c r="S21" s="530"/>
      <c r="T21" s="533"/>
      <c r="U21" s="190">
        <f>IFERROR(R21-VLOOKUP(D21,'미니게임_DATA(순)'!$A:$FB,MATCH("rct 10g avg",'미니게임_DATA(순)'!$A$3:$FB$3,0),0),0)</f>
        <v>12.566666666666663</v>
      </c>
      <c r="W21" s="185">
        <f t="shared" si="10"/>
        <v>169</v>
      </c>
      <c r="X21" s="267">
        <f>R21</f>
        <v>159.66666666666666</v>
      </c>
      <c r="Y21" s="267" t="str">
        <f>VLOOKUP(Z21,'미니게임_DATA(순)'!$A$6:$C$42,3,0)</f>
        <v>남</v>
      </c>
      <c r="Z21" s="187" t="str">
        <f>D21</f>
        <v>한희용</v>
      </c>
    </row>
    <row r="22" spans="3:27">
      <c r="C22" s="538"/>
      <c r="D22" s="188"/>
      <c r="E22" s="279"/>
      <c r="F22" s="279"/>
      <c r="G22" s="527"/>
      <c r="H22" s="527"/>
      <c r="I22" s="279"/>
      <c r="J22" s="279"/>
      <c r="K22" s="527"/>
      <c r="L22" s="527"/>
      <c r="M22" s="279"/>
      <c r="N22" s="279"/>
      <c r="O22" s="527"/>
      <c r="P22" s="527"/>
      <c r="Q22" s="279">
        <f t="shared" si="0"/>
        <v>0</v>
      </c>
      <c r="R22" s="276">
        <f t="shared" ref="R22" si="11">Q22/3</f>
        <v>0</v>
      </c>
      <c r="S22" s="530"/>
      <c r="T22" s="533"/>
      <c r="U22" s="190">
        <f>IFERROR(R22-VLOOKUP(D22,'미니게임_DATA(순)'!$A:$FB,MATCH("rct 10g avg",'미니게임_DATA(순)'!$A$3:$FB$3,0),0),0)</f>
        <v>0</v>
      </c>
      <c r="W22" s="185"/>
      <c r="Z22" s="187"/>
    </row>
    <row r="23" spans="3:27" ht="16.5">
      <c r="C23" s="539"/>
      <c r="D23" s="328"/>
      <c r="E23" s="535">
        <f>SUMIF(E19:F22, "&gt;0")</f>
        <v>566</v>
      </c>
      <c r="F23" s="498"/>
      <c r="G23" s="528"/>
      <c r="H23" s="528"/>
      <c r="I23" s="535">
        <f>SUMIF(I19:J22, "&gt;0")</f>
        <v>473</v>
      </c>
      <c r="J23" s="498"/>
      <c r="K23" s="528"/>
      <c r="L23" s="528"/>
      <c r="M23" s="535">
        <f>SUMIF(M19:N22, "&gt;0")</f>
        <v>439</v>
      </c>
      <c r="N23" s="498"/>
      <c r="O23" s="528"/>
      <c r="P23" s="528"/>
      <c r="Q23" s="272">
        <f t="shared" si="0"/>
        <v>1478</v>
      </c>
      <c r="R23" s="196"/>
      <c r="S23" s="531"/>
      <c r="T23" s="534"/>
      <c r="U23" s="277">
        <f>IFERROR(R23-VLOOKUP(D23,'미니게임_DATA(순)'!$A:$FB,MATCH("rct 10g avg",'미니게임_DATA(순)'!$A$3:$FB$3,0),0),0)</f>
        <v>0</v>
      </c>
      <c r="V23" s="185"/>
      <c r="W23" s="185"/>
      <c r="Z23" s="187">
        <f>D23</f>
        <v>0</v>
      </c>
      <c r="AA23" s="187">
        <f>SUM(E23,I23)</f>
        <v>1039</v>
      </c>
    </row>
    <row r="24" spans="3:27">
      <c r="C24" s="537" t="s">
        <v>147</v>
      </c>
      <c r="D24" s="180" t="s">
        <v>37</v>
      </c>
      <c r="E24" s="275">
        <f>IFERROR(VLOOKUP($D24,'미니게임_DATA(순)'!$A$4:$EV$45,109,0),0)</f>
        <v>154</v>
      </c>
      <c r="F24" s="273"/>
      <c r="G24" s="526">
        <f>RANK(E28,($E$18,$E$23,$E$28,$E$33,E$38))</f>
        <v>5</v>
      </c>
      <c r="H24" s="526">
        <f t="shared" ref="H24" si="12">G24</f>
        <v>5</v>
      </c>
      <c r="I24" s="275">
        <f>IFERROR(VLOOKUP($D24,'미니게임_DATA(순)'!$A$4:$EV$45,110,0),0)</f>
        <v>159</v>
      </c>
      <c r="J24" s="273"/>
      <c r="K24" s="526">
        <f>RANK(I28,($I$18,$I$23,$I$28,$I$33,I$38))</f>
        <v>4</v>
      </c>
      <c r="L24" s="526">
        <f>RANK(AA28,($AA$18,$AA$23,$AA$28,$AA$33,$AA$38))</f>
        <v>5</v>
      </c>
      <c r="M24" s="275">
        <f>IFERROR(VLOOKUP($D24,'미니게임_DATA(순)'!$A$4:$EV$45,111,0),0)</f>
        <v>170</v>
      </c>
      <c r="N24" s="273"/>
      <c r="O24" s="526">
        <f>RANK(M28,($M$18,$M$23,$M$28,$M$33,$M$38))</f>
        <v>2</v>
      </c>
      <c r="P24" s="526">
        <f t="shared" ref="P24" si="13">S24</f>
        <v>5</v>
      </c>
      <c r="Q24" s="273">
        <f t="shared" ref="Q24:Q26" si="14">E24+I24+M24</f>
        <v>483</v>
      </c>
      <c r="R24" s="274">
        <f>AVERAGE(E24,I24,M24)</f>
        <v>161</v>
      </c>
      <c r="S24" s="529">
        <f>RANK(Q28,($Q$18,$Q$23,$Q$28,$Q$33,$Q$38))</f>
        <v>5</v>
      </c>
      <c r="T24" s="532">
        <f>MAX($Q$18,$Q$23,Q$28,Q$33,Q$38)-Q28</f>
        <v>214</v>
      </c>
      <c r="U24" s="184">
        <f>IFERROR(R24-VLOOKUP(D24,'미니게임_DATA(순)'!$A:$FB,MATCH("rct 10g avg",'미니게임_DATA(순)'!$A$3:$FB$3,0),0),0)</f>
        <v>-5.4000000000000057</v>
      </c>
      <c r="W24" s="185">
        <f t="shared" ref="W24:W26" si="15">MAX(E24,I24,M24)</f>
        <v>170</v>
      </c>
      <c r="X24" s="267">
        <f>R24</f>
        <v>161</v>
      </c>
      <c r="Y24" s="267" t="str">
        <f>VLOOKUP(Z24,'미니게임_DATA(순)'!$A$4:$C$43,3,0)</f>
        <v>남</v>
      </c>
      <c r="Z24" s="187" t="str">
        <f>D24</f>
        <v>최은규</v>
      </c>
    </row>
    <row r="25" spans="3:27">
      <c r="C25" s="538"/>
      <c r="D25" s="188" t="s">
        <v>14</v>
      </c>
      <c r="E25" s="275">
        <f>IFERROR(VLOOKUP($D25,'미니게임_DATA(순)'!$A$4:$EV$45,109,0),0)</f>
        <v>135</v>
      </c>
      <c r="F25" s="275"/>
      <c r="G25" s="527"/>
      <c r="H25" s="527"/>
      <c r="I25" s="275">
        <f>IFERROR(VLOOKUP($D25,'미니게임_DATA(순)'!$A$4:$EV$45,110,0),0)</f>
        <v>120</v>
      </c>
      <c r="J25" s="275"/>
      <c r="K25" s="527"/>
      <c r="L25" s="527"/>
      <c r="M25" s="275">
        <f>IFERROR(VLOOKUP($D25,'미니게임_DATA(순)'!$A$4:$EV$45,111,0),0)</f>
        <v>144</v>
      </c>
      <c r="N25" s="275"/>
      <c r="O25" s="527"/>
      <c r="P25" s="527"/>
      <c r="Q25" s="275">
        <f t="shared" si="14"/>
        <v>399</v>
      </c>
      <c r="R25" s="300">
        <f t="shared" ref="R25:R26" si="16">AVERAGE(E25,I25,M25)</f>
        <v>133</v>
      </c>
      <c r="S25" s="530"/>
      <c r="T25" s="533"/>
      <c r="U25" s="190">
        <f>IFERROR(R25-VLOOKUP(D25,'미니게임_DATA(순)'!$A:$FB,MATCH("rct 10g avg",'미니게임_DATA(순)'!$A$3:$FB$3,0),0),0)</f>
        <v>-29.199999999999989</v>
      </c>
      <c r="W25" s="185">
        <f t="shared" si="15"/>
        <v>144</v>
      </c>
      <c r="X25" s="267">
        <f>R25</f>
        <v>133</v>
      </c>
      <c r="Y25" s="267" t="str">
        <f>VLOOKUP(Z25,'미니게임_DATA(순)'!$A$6:$C$42,3,0)</f>
        <v>남</v>
      </c>
      <c r="Z25" s="187" t="str">
        <f>D25</f>
        <v>채승엽</v>
      </c>
    </row>
    <row r="26" spans="3:27">
      <c r="C26" s="538"/>
      <c r="D26" s="188" t="s">
        <v>22</v>
      </c>
      <c r="E26" s="275">
        <f>IFERROR(VLOOKUP($D26,'미니게임_DATA(순)'!$A$4:$EV$45,109,0),0)</f>
        <v>147</v>
      </c>
      <c r="F26" s="275"/>
      <c r="G26" s="527"/>
      <c r="H26" s="527"/>
      <c r="I26" s="275">
        <f>IFERROR(VLOOKUP($D26,'미니게임_DATA(순)'!$A$4:$EV$45,110,0),0)</f>
        <v>150</v>
      </c>
      <c r="J26" s="275"/>
      <c r="K26" s="527"/>
      <c r="L26" s="527"/>
      <c r="M26" s="275">
        <f>IFERROR(VLOOKUP($D26,'미니게임_DATA(순)'!$A$4:$EV$45,111,0),0)</f>
        <v>126</v>
      </c>
      <c r="N26" s="275"/>
      <c r="O26" s="527"/>
      <c r="P26" s="527"/>
      <c r="Q26" s="275">
        <f t="shared" si="14"/>
        <v>423</v>
      </c>
      <c r="R26" s="276">
        <f t="shared" si="16"/>
        <v>141</v>
      </c>
      <c r="S26" s="530"/>
      <c r="T26" s="533"/>
      <c r="U26" s="190">
        <f>IFERROR(R26-VLOOKUP(D26,'미니게임_DATA(순)'!$A:$FB,MATCH("rct 10g avg",'미니게임_DATA(순)'!$A$3:$FB$3,0),0),0)</f>
        <v>-2.4000000000000057</v>
      </c>
      <c r="W26" s="185">
        <f t="shared" si="15"/>
        <v>150</v>
      </c>
      <c r="X26" s="267">
        <f>R26</f>
        <v>141</v>
      </c>
      <c r="Y26" s="267" t="str">
        <f>VLOOKUP(Z26,'미니게임_DATA(순)'!$A$6:$C$42,3,0)</f>
        <v>남</v>
      </c>
      <c r="Z26" s="187" t="str">
        <f>D26</f>
        <v>이강은</v>
      </c>
    </row>
    <row r="27" spans="3:27">
      <c r="C27" s="538"/>
      <c r="D27" s="188"/>
      <c r="E27" s="279">
        <f>IFERROR(VLOOKUP(D27,미니게임_DATA!$A:$GT,6,0),0)</f>
        <v>0</v>
      </c>
      <c r="F27" s="279"/>
      <c r="G27" s="527"/>
      <c r="H27" s="527"/>
      <c r="I27" s="279">
        <f>IFERROR(VLOOKUP(D27,미니게임_DATA!$A:$GT,7,0),0)</f>
        <v>0</v>
      </c>
      <c r="J27" s="279"/>
      <c r="K27" s="527"/>
      <c r="L27" s="527"/>
      <c r="M27" s="279">
        <f>IFERROR(VLOOKUP(D27,미니게임_DATA!$A:$GT,8,0),0)</f>
        <v>0</v>
      </c>
      <c r="N27" s="279"/>
      <c r="O27" s="527"/>
      <c r="P27" s="527"/>
      <c r="Q27" s="279">
        <f t="shared" si="0"/>
        <v>0</v>
      </c>
      <c r="R27" s="276">
        <f t="shared" ref="R27" si="17">Q27/3</f>
        <v>0</v>
      </c>
      <c r="S27" s="530"/>
      <c r="T27" s="533"/>
      <c r="U27" s="190">
        <f>IFERROR(R27-VLOOKUP(D27,'미니게임_DATA(순)'!$A:$FB,MATCH("rct 10g avg",'미니게임_DATA(순)'!$A$3:$FB$3,0),0),0)</f>
        <v>0</v>
      </c>
      <c r="W27" s="185"/>
      <c r="Z27" s="187"/>
    </row>
    <row r="28" spans="3:27" ht="16.5">
      <c r="C28" s="539"/>
      <c r="D28" s="328"/>
      <c r="E28" s="535">
        <f>SUMIF(E24:F27, "&gt;0")</f>
        <v>436</v>
      </c>
      <c r="F28" s="498"/>
      <c r="G28" s="528"/>
      <c r="H28" s="528"/>
      <c r="I28" s="535">
        <f>SUMIF(I24:J27, "&gt;0")</f>
        <v>429</v>
      </c>
      <c r="J28" s="498"/>
      <c r="K28" s="528"/>
      <c r="L28" s="528"/>
      <c r="M28" s="535">
        <f>SUMIF(M24:N27, "&gt;0")</f>
        <v>440</v>
      </c>
      <c r="N28" s="498"/>
      <c r="O28" s="528"/>
      <c r="P28" s="528"/>
      <c r="Q28" s="272">
        <f t="shared" si="0"/>
        <v>1305</v>
      </c>
      <c r="R28" s="196"/>
      <c r="S28" s="531"/>
      <c r="T28" s="534"/>
      <c r="U28" s="277">
        <f>IFERROR(R28-VLOOKUP(D28,'미니게임_DATA(순)'!$A:$FB,MATCH("rct 10g avg",'미니게임_DATA(순)'!$A$3:$FB$3,0),0),0)</f>
        <v>0</v>
      </c>
      <c r="V28" s="185"/>
      <c r="W28" s="185"/>
      <c r="Z28" s="187">
        <f>D28</f>
        <v>0</v>
      </c>
      <c r="AA28" s="187">
        <f>SUM(E28,I28)</f>
        <v>865</v>
      </c>
    </row>
    <row r="29" spans="3:27">
      <c r="C29" s="537" t="s">
        <v>148</v>
      </c>
      <c r="D29" s="180" t="s">
        <v>9</v>
      </c>
      <c r="E29" s="275">
        <f>IFERROR(VLOOKUP($D29,'미니게임_DATA(순)'!$A$4:$EV$45,109,0),0)</f>
        <v>130</v>
      </c>
      <c r="F29" s="273"/>
      <c r="G29" s="526">
        <f>RANK(E33,($E$18,$E$23,$E$28,$E$33,$E$38))</f>
        <v>4</v>
      </c>
      <c r="H29" s="526">
        <f t="shared" ref="H29" si="18">G29</f>
        <v>4</v>
      </c>
      <c r="I29" s="275">
        <f>IFERROR(VLOOKUP($D29,'미니게임_DATA(순)'!$A$4:$EV$45,110,0),0)</f>
        <v>130</v>
      </c>
      <c r="J29" s="273"/>
      <c r="K29" s="526">
        <f>RANK(I33,($I$18,$I$23,$I$28,$I$33,I$38))</f>
        <v>3</v>
      </c>
      <c r="L29" s="526">
        <f>RANK(AA33,($AA$18,$AA$23,$AA$28,$AA$33,$AA$38))</f>
        <v>3</v>
      </c>
      <c r="M29" s="275">
        <f>IFERROR(VLOOKUP($D29,'미니게임_DATA(순)'!$A$4:$EV$45,111,0),0)</f>
        <v>154</v>
      </c>
      <c r="N29" s="273"/>
      <c r="O29" s="526">
        <f>RANK(M33,($M$18,$M$23,$M$28,$M$33,$M$38))</f>
        <v>4</v>
      </c>
      <c r="P29" s="526">
        <f t="shared" ref="P29" si="19">S29</f>
        <v>3</v>
      </c>
      <c r="Q29" s="273">
        <f t="shared" ref="Q29:Q31" si="20">E29+I29+M29</f>
        <v>414</v>
      </c>
      <c r="R29" s="274">
        <f>AVERAGE(E29,I29,M29)</f>
        <v>138</v>
      </c>
      <c r="S29" s="529">
        <f>RANK(Q33,($Q$18,$Q$23,$Q$28,$Q$33,$Q$38))</f>
        <v>3</v>
      </c>
      <c r="T29" s="532">
        <f>MAX($Q$18,$Q$23,Q$28,Q$33,Q$38)-Q33</f>
        <v>177</v>
      </c>
      <c r="U29" s="184">
        <f>IFERROR(R29-VLOOKUP(D29,'미니게임_DATA(순)'!$A:$FB,MATCH("rct 10g avg",'미니게임_DATA(순)'!$A$3:$FB$3,0),0),0)</f>
        <v>-23.199999999999989</v>
      </c>
      <c r="W29" s="185">
        <f t="shared" ref="W29:W30" si="21">MAX(E29,I29,M29)</f>
        <v>154</v>
      </c>
      <c r="X29" s="267">
        <f>R29</f>
        <v>138</v>
      </c>
      <c r="Y29" s="267" t="str">
        <f>VLOOKUP(Z29,'미니게임_DATA(순)'!$A$6:$C$42,3,0)</f>
        <v>남</v>
      </c>
      <c r="Z29" s="187" t="str">
        <f>D29</f>
        <v>백동민</v>
      </c>
    </row>
    <row r="30" spans="3:27">
      <c r="C30" s="538"/>
      <c r="D30" s="188" t="s">
        <v>281</v>
      </c>
      <c r="E30" s="275">
        <f>IFERROR(VLOOKUP($D30,'미니게임_DATA(순)'!$A$4:$EV$45,109,0),0)</f>
        <v>154</v>
      </c>
      <c r="F30" s="275">
        <v>5</v>
      </c>
      <c r="G30" s="527"/>
      <c r="H30" s="527"/>
      <c r="I30" s="275">
        <f>IFERROR(VLOOKUP($D30,'미니게임_DATA(순)'!$A$4:$EV$45,110,0),0)</f>
        <v>167</v>
      </c>
      <c r="J30" s="275">
        <v>5</v>
      </c>
      <c r="K30" s="527"/>
      <c r="L30" s="527"/>
      <c r="M30" s="275">
        <f>IFERROR(VLOOKUP($D30,'미니게임_DATA(순)'!$A$4:$EV$45,111,0),0)</f>
        <v>118</v>
      </c>
      <c r="N30" s="275">
        <v>5</v>
      </c>
      <c r="O30" s="527"/>
      <c r="P30" s="527"/>
      <c r="Q30" s="275">
        <f t="shared" si="20"/>
        <v>439</v>
      </c>
      <c r="R30" s="300">
        <f t="shared" ref="R30:R31" si="22">AVERAGE(E30,I30,M30)</f>
        <v>146.33333333333334</v>
      </c>
      <c r="S30" s="530"/>
      <c r="T30" s="533"/>
      <c r="U30" s="190">
        <f>IFERROR(R30-VLOOKUP(D30,'미니게임_DATA(순)'!$A:$FB,MATCH("rct 10g avg",'미니게임_DATA(순)'!$A$3:$FB$3,0),0),0)</f>
        <v>-22.766666666666652</v>
      </c>
      <c r="W30" s="185">
        <f t="shared" si="21"/>
        <v>167</v>
      </c>
      <c r="X30" s="267">
        <f>R30</f>
        <v>146.33333333333334</v>
      </c>
      <c r="Y30" s="267" t="e">
        <f>VLOOKUP(Z30,'미니게임_DATA(순)'!$A$6:$C$42,3,0)</f>
        <v>#N/A</v>
      </c>
      <c r="Z30" s="187" t="str">
        <f>D30</f>
        <v>오수인</v>
      </c>
    </row>
    <row r="31" spans="3:27">
      <c r="C31" s="538"/>
      <c r="D31" s="342" t="s">
        <v>221</v>
      </c>
      <c r="E31" s="275">
        <v>158</v>
      </c>
      <c r="F31" s="275"/>
      <c r="G31" s="527"/>
      <c r="H31" s="527"/>
      <c r="I31" s="275">
        <v>158</v>
      </c>
      <c r="J31" s="275"/>
      <c r="K31" s="527"/>
      <c r="L31" s="527"/>
      <c r="M31" s="275">
        <v>158</v>
      </c>
      <c r="N31" s="275"/>
      <c r="O31" s="527"/>
      <c r="P31" s="527"/>
      <c r="Q31" s="275">
        <f t="shared" si="20"/>
        <v>474</v>
      </c>
      <c r="R31" s="276">
        <f t="shared" si="22"/>
        <v>158</v>
      </c>
      <c r="S31" s="530"/>
      <c r="T31" s="533"/>
      <c r="U31" s="190">
        <f>IFERROR(R31-VLOOKUP(D31,'미니게임_DATA(순)'!$A:$FB,MATCH("rct 10g avg",'미니게임_DATA(순)'!$A$3:$FB$3,0),0),0)</f>
        <v>0</v>
      </c>
      <c r="W31" s="185"/>
      <c r="X31" s="267">
        <f>R31</f>
        <v>158</v>
      </c>
      <c r="Z31" s="187" t="str">
        <f>D31</f>
        <v>동수</v>
      </c>
    </row>
    <row r="32" spans="3:27">
      <c r="C32" s="538"/>
      <c r="D32" s="188"/>
      <c r="E32" s="279"/>
      <c r="F32" s="279"/>
      <c r="G32" s="527"/>
      <c r="H32" s="527"/>
      <c r="I32" s="279"/>
      <c r="J32" s="279"/>
      <c r="K32" s="527"/>
      <c r="L32" s="527"/>
      <c r="M32" s="279">
        <f>IFERROR(VLOOKUP(D32,'미니게임_DATA(순)'!$A$5:$BU$38,73,0),0)</f>
        <v>0</v>
      </c>
      <c r="N32" s="279"/>
      <c r="O32" s="527"/>
      <c r="P32" s="527"/>
      <c r="Q32" s="279">
        <f t="shared" si="0"/>
        <v>0</v>
      </c>
      <c r="R32" s="276">
        <f t="shared" ref="R32" si="23">Q32/3</f>
        <v>0</v>
      </c>
      <c r="S32" s="530"/>
      <c r="T32" s="533"/>
      <c r="U32" s="190">
        <f>IFERROR(R32-VLOOKUP(D32,'미니게임_DATA(순)'!$A:$FB,MATCH("rct 10g avg",'미니게임_DATA(순)'!$A$3:$FB$3,0),0),0)</f>
        <v>0</v>
      </c>
      <c r="W32" s="185"/>
      <c r="Z32" s="187"/>
    </row>
    <row r="33" spans="2:28" ht="16.5">
      <c r="C33" s="539"/>
      <c r="D33" s="328"/>
      <c r="E33" s="535">
        <f>SUMIF(E29:F32, "&gt;0")</f>
        <v>447</v>
      </c>
      <c r="F33" s="498"/>
      <c r="G33" s="528"/>
      <c r="H33" s="528"/>
      <c r="I33" s="535">
        <f>SUMIF(I29:J32, "&gt;0")</f>
        <v>460</v>
      </c>
      <c r="J33" s="498"/>
      <c r="K33" s="528"/>
      <c r="L33" s="528"/>
      <c r="M33" s="535">
        <f>SUMIF(M29:N32, "&gt;0")</f>
        <v>435</v>
      </c>
      <c r="N33" s="498"/>
      <c r="O33" s="528"/>
      <c r="P33" s="528"/>
      <c r="Q33" s="272">
        <f t="shared" si="0"/>
        <v>1342</v>
      </c>
      <c r="R33" s="196"/>
      <c r="S33" s="531"/>
      <c r="T33" s="534"/>
      <c r="U33" s="277">
        <f>IFERROR(R33-VLOOKUP(D33,'미니게임_DATA(순)'!$A:$FB,MATCH("rct 10g avg",'미니게임_DATA(순)'!$A$3:$FB$3,0),0),0)</f>
        <v>0</v>
      </c>
      <c r="V33" s="185"/>
      <c r="W33" s="185"/>
      <c r="Z33" s="187">
        <f>D33</f>
        <v>0</v>
      </c>
      <c r="AA33" s="187">
        <f>SUM(E33,I33)</f>
        <v>907</v>
      </c>
    </row>
    <row r="34" spans="2:28">
      <c r="C34" s="537" t="s">
        <v>149</v>
      </c>
      <c r="D34" s="180" t="s">
        <v>10</v>
      </c>
      <c r="E34" s="275">
        <f>IFERROR(VLOOKUP($D34,'미니게임_DATA(순)'!$A$4:$EV$45,109,0),0)</f>
        <v>143</v>
      </c>
      <c r="F34" s="273"/>
      <c r="G34" s="526">
        <f>RANK(E38,($E$18,$E$23,$E$28,$E$33,$E$38))</f>
        <v>3</v>
      </c>
      <c r="H34" s="526">
        <f t="shared" ref="H34" si="24">G34</f>
        <v>3</v>
      </c>
      <c r="I34" s="275">
        <f>IFERROR(VLOOKUP($D34,'미니게임_DATA(순)'!$A$4:$EV$45,110,0),0)</f>
        <v>142</v>
      </c>
      <c r="J34" s="273"/>
      <c r="K34" s="526">
        <f>RANK(I38,($I$18,$I$23,$I$28,$I$33,I$38))</f>
        <v>5</v>
      </c>
      <c r="L34" s="526">
        <f>RANK(AA38,($AA$18,$AA$23,$AA$28,$AA$33,$AA$38))</f>
        <v>4</v>
      </c>
      <c r="M34" s="275">
        <f>IFERROR(VLOOKUP($D34,'미니게임_DATA(순)'!$A$4:$EV$45,111,0),0)</f>
        <v>132</v>
      </c>
      <c r="N34" s="273"/>
      <c r="O34" s="526">
        <f>RANK(M38,($M$18,$M$23,$M$28,$M$33,$M$38))</f>
        <v>5</v>
      </c>
      <c r="P34" s="526">
        <f t="shared" ref="P34" si="25">S34</f>
        <v>4</v>
      </c>
      <c r="Q34" s="273">
        <f t="shared" ref="Q34:Q36" si="26">E34+I34+M34</f>
        <v>417</v>
      </c>
      <c r="R34" s="274">
        <f>AVERAGE(E34,I34,M34)</f>
        <v>139</v>
      </c>
      <c r="S34" s="529">
        <f>RANK(Q38,($Q$18,$Q$23,$Q$28,$Q$33,$Q$38))</f>
        <v>4</v>
      </c>
      <c r="T34" s="532">
        <f>MAX($Q$18,$Q$23,Q$28,Q$33,Q$38)-Q38</f>
        <v>190</v>
      </c>
      <c r="U34" s="184">
        <f>IFERROR(R34-VLOOKUP(D34,'미니게임_DATA(순)'!$A:$FB,MATCH("rct 10g avg",'미니게임_DATA(순)'!$A$3:$FB$3,0),0),0)</f>
        <v>-14.400000000000006</v>
      </c>
      <c r="W34" s="185">
        <f t="shared" ref="W34:W36" si="27">MAX(E34,I34,M34)</f>
        <v>143</v>
      </c>
      <c r="X34" s="267">
        <f>R34</f>
        <v>139</v>
      </c>
      <c r="Y34" s="267" t="str">
        <f>VLOOKUP(Z34,'미니게임_DATA(순)'!$A$6:$C$42,3,0)</f>
        <v>남</v>
      </c>
      <c r="Z34" s="187" t="str">
        <f>D34</f>
        <v>김신철</v>
      </c>
    </row>
    <row r="35" spans="2:28" s="172" customFormat="1">
      <c r="B35" s="169"/>
      <c r="C35" s="538"/>
      <c r="D35" s="188" t="s">
        <v>241</v>
      </c>
      <c r="E35" s="275">
        <f>IFERROR(VLOOKUP($D35,'미니게임_DATA(순)'!$A$4:$EV$45,109,0),0)</f>
        <v>181</v>
      </c>
      <c r="F35" s="275"/>
      <c r="G35" s="527"/>
      <c r="H35" s="527"/>
      <c r="I35" s="275">
        <f>IFERROR(VLOOKUP($D35,'미니게임_DATA(순)'!$A$4:$EV$45,110,0),0)</f>
        <v>133</v>
      </c>
      <c r="J35" s="275"/>
      <c r="K35" s="527"/>
      <c r="L35" s="527"/>
      <c r="M35" s="275">
        <f>IFERROR(VLOOKUP($D35,'미니게임_DATA(순)'!$A$4:$EV$45,111,0),0)</f>
        <v>149</v>
      </c>
      <c r="N35" s="275"/>
      <c r="O35" s="527"/>
      <c r="P35" s="527"/>
      <c r="Q35" s="275">
        <f t="shared" si="26"/>
        <v>463</v>
      </c>
      <c r="R35" s="300">
        <f t="shared" ref="R35:R36" si="28">AVERAGE(E35,I35,M35)</f>
        <v>154.33333333333334</v>
      </c>
      <c r="S35" s="530"/>
      <c r="T35" s="533"/>
      <c r="U35" s="190">
        <f>IFERROR(R35-VLOOKUP(D35,'미니게임_DATA(순)'!$A:$FB,MATCH("rct 10g avg",'미니게임_DATA(순)'!$A$3:$FB$3,0),0),0)</f>
        <v>1.4333333333333371</v>
      </c>
      <c r="W35" s="185">
        <f t="shared" si="27"/>
        <v>181</v>
      </c>
      <c r="X35" s="267">
        <f>R35</f>
        <v>154.33333333333334</v>
      </c>
      <c r="Y35" s="267" t="str">
        <f>VLOOKUP(Z35,'미니게임_DATA(순)'!$A$4:$C$43,3,0)</f>
        <v>남</v>
      </c>
      <c r="Z35" s="187" t="str">
        <f>D35</f>
        <v>이유재</v>
      </c>
      <c r="AA35" s="169"/>
      <c r="AB35" s="169"/>
    </row>
    <row r="36" spans="2:28" s="172" customFormat="1">
      <c r="B36" s="169"/>
      <c r="C36" s="538"/>
      <c r="D36" s="188" t="s">
        <v>282</v>
      </c>
      <c r="E36" s="275">
        <f>IFERROR(VLOOKUP($D36,'미니게임_DATA(순)'!$A$4:$EV$45,109,0),0)</f>
        <v>157</v>
      </c>
      <c r="F36" s="275"/>
      <c r="G36" s="527"/>
      <c r="H36" s="527"/>
      <c r="I36" s="275">
        <f>IFERROR(VLOOKUP($D36,'미니게임_DATA(순)'!$A$4:$EV$45,110,0),0)</f>
        <v>141</v>
      </c>
      <c r="J36" s="275"/>
      <c r="K36" s="527"/>
      <c r="L36" s="527"/>
      <c r="M36" s="275">
        <f>IFERROR(VLOOKUP($D36,'미니게임_DATA(순)'!$A$4:$EV$45,111,0),0)</f>
        <v>151</v>
      </c>
      <c r="N36" s="275"/>
      <c r="O36" s="527"/>
      <c r="P36" s="527"/>
      <c r="Q36" s="275">
        <f t="shared" si="26"/>
        <v>449</v>
      </c>
      <c r="R36" s="276">
        <f t="shared" si="28"/>
        <v>149.66666666666666</v>
      </c>
      <c r="S36" s="530"/>
      <c r="T36" s="533"/>
      <c r="U36" s="190">
        <f>IFERROR(R36-VLOOKUP(D36,'미니게임_DATA(순)'!$A:$FB,MATCH("rct 10g avg",'미니게임_DATA(순)'!$A$3:$FB$3,0),0),0)</f>
        <v>-12.433333333333337</v>
      </c>
      <c r="W36" s="185">
        <f t="shared" si="27"/>
        <v>157</v>
      </c>
      <c r="X36" s="267">
        <f>R36</f>
        <v>149.66666666666666</v>
      </c>
      <c r="Y36" s="267" t="str">
        <f>VLOOKUP(Z36,'미니게임_DATA(순)'!$A$6:$C$42,3,0)</f>
        <v>여</v>
      </c>
      <c r="Z36" s="187" t="str">
        <f>D36</f>
        <v>손하은</v>
      </c>
      <c r="AA36" s="169"/>
      <c r="AB36" s="169"/>
    </row>
    <row r="37" spans="2:28">
      <c r="C37" s="538"/>
      <c r="D37" s="188"/>
      <c r="E37" s="279"/>
      <c r="F37" s="279"/>
      <c r="G37" s="527"/>
      <c r="H37" s="527"/>
      <c r="I37" s="279"/>
      <c r="J37" s="279"/>
      <c r="K37" s="527"/>
      <c r="L37" s="527"/>
      <c r="M37" s="279"/>
      <c r="N37" s="279"/>
      <c r="O37" s="527"/>
      <c r="P37" s="527"/>
      <c r="Q37" s="279">
        <f t="shared" ref="Q37" si="29">E37+I37+M37</f>
        <v>0</v>
      </c>
      <c r="R37" s="276">
        <f t="shared" ref="R37" si="30">Q37/3</f>
        <v>0</v>
      </c>
      <c r="S37" s="530"/>
      <c r="T37" s="533"/>
      <c r="U37" s="190">
        <f>IFERROR(R37-VLOOKUP(D37,'미니게임_DATA(순)'!$A:$FB,MATCH("rct 10g avg",'미니게임_DATA(순)'!$A$3:$FB$3,0),0),0)</f>
        <v>0</v>
      </c>
      <c r="W37" s="185"/>
      <c r="Z37" s="187"/>
    </row>
    <row r="38" spans="2:28" ht="16.5">
      <c r="C38" s="539"/>
      <c r="D38" s="328"/>
      <c r="E38" s="535">
        <f>SUMIF(E34:F37, "&gt;0")</f>
        <v>481</v>
      </c>
      <c r="F38" s="498"/>
      <c r="G38" s="528"/>
      <c r="H38" s="528"/>
      <c r="I38" s="535">
        <f>SUMIF(I34:J37, "&gt;0")</f>
        <v>416</v>
      </c>
      <c r="J38" s="498"/>
      <c r="K38" s="528"/>
      <c r="L38" s="528"/>
      <c r="M38" s="535">
        <f>SUMIF(M34:N37, "&gt;0")</f>
        <v>432</v>
      </c>
      <c r="N38" s="498"/>
      <c r="O38" s="528"/>
      <c r="P38" s="528"/>
      <c r="Q38" s="272">
        <f>E38+I38+M38</f>
        <v>1329</v>
      </c>
      <c r="R38" s="278"/>
      <c r="S38" s="531"/>
      <c r="T38" s="534"/>
      <c r="U38" s="277">
        <f>IFERROR(R38-VLOOKUP(D38,'미니게임_DATA(순)'!$A:$FB,MATCH("rct 10g avg",'미니게임_DATA(순)'!$A$3:$FB$3,0),0),0)</f>
        <v>0</v>
      </c>
      <c r="V38" s="185"/>
      <c r="W38" s="185"/>
      <c r="Z38" s="187">
        <f>D38</f>
        <v>0</v>
      </c>
      <c r="AA38" s="187">
        <f>SUM(E38,I38)</f>
        <v>897</v>
      </c>
    </row>
  </sheetData>
  <mergeCells count="77">
    <mergeCell ref="B2:B3"/>
    <mergeCell ref="B4:B5"/>
    <mergeCell ref="B6:B9"/>
    <mergeCell ref="D6:E6"/>
    <mergeCell ref="D7:E7"/>
    <mergeCell ref="D8:E8"/>
    <mergeCell ref="D9:E9"/>
    <mergeCell ref="U11:U13"/>
    <mergeCell ref="E12:H12"/>
    <mergeCell ref="I12:L12"/>
    <mergeCell ref="M12:P12"/>
    <mergeCell ref="C14:C18"/>
    <mergeCell ref="G14:G18"/>
    <mergeCell ref="H14:H18"/>
    <mergeCell ref="K14:K18"/>
    <mergeCell ref="L14:L18"/>
    <mergeCell ref="O14:O18"/>
    <mergeCell ref="C11:C13"/>
    <mergeCell ref="D11:D13"/>
    <mergeCell ref="E11:P11"/>
    <mergeCell ref="Q11:Q13"/>
    <mergeCell ref="R11:R13"/>
    <mergeCell ref="S11:T12"/>
    <mergeCell ref="P14:P18"/>
    <mergeCell ref="S14:S18"/>
    <mergeCell ref="T14:T18"/>
    <mergeCell ref="E18:F18"/>
    <mergeCell ref="I18:J18"/>
    <mergeCell ref="M18:N18"/>
    <mergeCell ref="C19:C23"/>
    <mergeCell ref="G19:G23"/>
    <mergeCell ref="H19:H23"/>
    <mergeCell ref="K19:K23"/>
    <mergeCell ref="L19:L23"/>
    <mergeCell ref="P19:P23"/>
    <mergeCell ref="S19:S23"/>
    <mergeCell ref="T19:T23"/>
    <mergeCell ref="E23:F23"/>
    <mergeCell ref="I23:J23"/>
    <mergeCell ref="M23:N23"/>
    <mergeCell ref="O19:O23"/>
    <mergeCell ref="C24:C28"/>
    <mergeCell ref="G24:G28"/>
    <mergeCell ref="H24:H28"/>
    <mergeCell ref="K24:K28"/>
    <mergeCell ref="L24:L28"/>
    <mergeCell ref="P24:P28"/>
    <mergeCell ref="S24:S28"/>
    <mergeCell ref="T24:T28"/>
    <mergeCell ref="E28:F28"/>
    <mergeCell ref="I28:J28"/>
    <mergeCell ref="M28:N28"/>
    <mergeCell ref="O24:O28"/>
    <mergeCell ref="C29:C33"/>
    <mergeCell ref="G29:G33"/>
    <mergeCell ref="H29:H33"/>
    <mergeCell ref="K29:K33"/>
    <mergeCell ref="L29:L33"/>
    <mergeCell ref="P29:P33"/>
    <mergeCell ref="S29:S33"/>
    <mergeCell ref="T29:T33"/>
    <mergeCell ref="E33:F33"/>
    <mergeCell ref="I33:J33"/>
    <mergeCell ref="M33:N33"/>
    <mergeCell ref="O29:O33"/>
    <mergeCell ref="C34:C38"/>
    <mergeCell ref="G34:G38"/>
    <mergeCell ref="H34:H38"/>
    <mergeCell ref="K34:K38"/>
    <mergeCell ref="L34:L38"/>
    <mergeCell ref="P34:P38"/>
    <mergeCell ref="S34:S38"/>
    <mergeCell ref="T34:T38"/>
    <mergeCell ref="E38:F38"/>
    <mergeCell ref="I38:J38"/>
    <mergeCell ref="M38:N38"/>
    <mergeCell ref="O34:O38"/>
  </mergeCells>
  <phoneticPr fontId="2" type="noConversion"/>
  <conditionalFormatting sqref="G39:H1048576 O39:P1048576 K39:L1048576 O12:P13 G1:H13 K1:L13 O1:P10">
    <cfRule type="cellIs" dxfId="162" priority="9" operator="equal">
      <formula>1</formula>
    </cfRule>
  </conditionalFormatting>
  <conditionalFormatting sqref="P14:P38">
    <cfRule type="cellIs" dxfId="161" priority="7" operator="equal">
      <formula>1</formula>
    </cfRule>
  </conditionalFormatting>
  <conditionalFormatting sqref="G14:H14 G19:H19 H15:H18 G29:H29 H25:H28 G24:H24 H20:H23 H30:H33">
    <cfRule type="cellIs" dxfId="160" priority="8" operator="equal">
      <formula>1</formula>
    </cfRule>
  </conditionalFormatting>
  <conditionalFormatting sqref="K14:L14 K19 K29 K24 L15:L38">
    <cfRule type="cellIs" dxfId="159" priority="6" operator="equal">
      <formula>1</formula>
    </cfRule>
  </conditionalFormatting>
  <conditionalFormatting sqref="O14 O19 O29 O24">
    <cfRule type="cellIs" dxfId="158" priority="5" operator="equal">
      <formula>1</formula>
    </cfRule>
  </conditionalFormatting>
  <conditionalFormatting sqref="G34">
    <cfRule type="cellIs" dxfId="157" priority="4" operator="equal">
      <formula>1</formula>
    </cfRule>
  </conditionalFormatting>
  <conditionalFormatting sqref="H34:H38">
    <cfRule type="cellIs" dxfId="156" priority="3" operator="equal">
      <formula>1</formula>
    </cfRule>
  </conditionalFormatting>
  <conditionalFormatting sqref="K34">
    <cfRule type="cellIs" dxfId="155" priority="2" operator="equal">
      <formula>1</formula>
    </cfRule>
  </conditionalFormatting>
  <conditionalFormatting sqref="O34">
    <cfRule type="cellIs" dxfId="154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8"/>
  <sheetViews>
    <sheetView showGridLines="0" zoomScale="85" zoomScaleNormal="85" workbookViewId="0">
      <selection activeCell="T51" sqref="T51"/>
    </sheetView>
  </sheetViews>
  <sheetFormatPr defaultColWidth="9" defaultRowHeight="13.5"/>
  <cols>
    <col min="1" max="5" width="9" style="169"/>
    <col min="6" max="8" width="5.375" style="169" customWidth="1"/>
    <col min="9" max="9" width="9" style="169"/>
    <col min="10" max="12" width="5.375" style="169" customWidth="1"/>
    <col min="13" max="13" width="9" style="169"/>
    <col min="14" max="16" width="5.375" style="169" customWidth="1"/>
    <col min="17" max="17" width="7.375" style="170" customWidth="1"/>
    <col min="18" max="18" width="7.375" style="171" customWidth="1"/>
    <col min="19" max="20" width="7.375" style="169" customWidth="1"/>
    <col min="21" max="21" width="9" style="169"/>
    <col min="22" max="23" width="9" style="172" hidden="1" customWidth="1"/>
    <col min="24" max="25" width="9" style="267" hidden="1" customWidth="1"/>
    <col min="26" max="28" width="9" style="169" hidden="1" customWidth="1"/>
    <col min="29" max="16384" width="9" style="169"/>
  </cols>
  <sheetData>
    <row r="2" spans="2:28">
      <c r="B2" s="550" t="s">
        <v>154</v>
      </c>
      <c r="C2" s="166" t="s">
        <v>156</v>
      </c>
      <c r="D2" s="167" t="str">
        <f>VLOOKUP(E2,W14:Z37,4,0)</f>
        <v>최은규</v>
      </c>
      <c r="E2" s="198">
        <f t="array" ref="E2">MAX(IF(Y14:Y38="남",W14:W38))</f>
        <v>214</v>
      </c>
      <c r="F2" s="268"/>
    </row>
    <row r="3" spans="2:28">
      <c r="B3" s="551"/>
      <c r="C3" s="166" t="s">
        <v>157</v>
      </c>
      <c r="D3" s="167" t="str">
        <f>VLOOKUP(E3,W15:Z38,4,0)</f>
        <v>성소라</v>
      </c>
      <c r="E3" s="198">
        <f t="array" ref="E3">MAX(IF(Y15:Y39="여",W15:W39))</f>
        <v>169</v>
      </c>
      <c r="F3" s="268"/>
    </row>
    <row r="4" spans="2:28">
      <c r="B4" s="550" t="s">
        <v>158</v>
      </c>
      <c r="C4" s="166" t="s">
        <v>156</v>
      </c>
      <c r="D4" s="167" t="str">
        <f>VLOOKUP(E4,X14:Z38,3,0)</f>
        <v>백동민</v>
      </c>
      <c r="E4" s="168">
        <f t="array" ref="E4">MAX(IF(Y14:Y38="남",X14:X38))</f>
        <v>180</v>
      </c>
      <c r="F4" s="268"/>
    </row>
    <row r="5" spans="2:28">
      <c r="B5" s="551"/>
      <c r="C5" s="166" t="s">
        <v>157</v>
      </c>
      <c r="D5" s="167" t="str">
        <f>VLOOKUP(E5,X15:Z39,3,0)</f>
        <v>성소라</v>
      </c>
      <c r="E5" s="168">
        <f t="array" ref="E5">MAX(IF(Y14:Y38="여",X14:X38))</f>
        <v>148.66666666666666</v>
      </c>
      <c r="F5" s="268"/>
    </row>
    <row r="6" spans="2:28" ht="16.5">
      <c r="B6" s="550" t="s">
        <v>224</v>
      </c>
      <c r="C6" s="235" t="s">
        <v>154</v>
      </c>
      <c r="D6" s="554" t="s">
        <v>37</v>
      </c>
      <c r="E6" s="472"/>
      <c r="F6" s="269"/>
    </row>
    <row r="7" spans="2:28" ht="16.5">
      <c r="B7" s="552"/>
      <c r="C7" s="235" t="s">
        <v>226</v>
      </c>
      <c r="D7" s="554" t="s">
        <v>37</v>
      </c>
      <c r="E7" s="472"/>
      <c r="F7" s="269"/>
    </row>
    <row r="8" spans="2:28" ht="16.5">
      <c r="B8" s="552"/>
      <c r="C8" s="235" t="s">
        <v>88</v>
      </c>
      <c r="D8" s="554"/>
      <c r="E8" s="498"/>
      <c r="F8" s="270"/>
    </row>
    <row r="9" spans="2:28" ht="16.5">
      <c r="B9" s="553"/>
      <c r="C9" s="235" t="s">
        <v>227</v>
      </c>
      <c r="D9" s="554" t="s">
        <v>239</v>
      </c>
      <c r="E9" s="472"/>
      <c r="F9" s="269"/>
    </row>
    <row r="11" spans="2:28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545"/>
      <c r="M11" s="545"/>
      <c r="N11" s="546"/>
      <c r="O11" s="546"/>
      <c r="P11" s="496"/>
      <c r="Q11" s="547" t="s">
        <v>142</v>
      </c>
      <c r="R11" s="548" t="s">
        <v>184</v>
      </c>
      <c r="S11" s="542" t="s">
        <v>169</v>
      </c>
      <c r="T11" s="542"/>
      <c r="U11" s="542" t="s">
        <v>143</v>
      </c>
    </row>
    <row r="12" spans="2:28">
      <c r="C12" s="543"/>
      <c r="D12" s="543"/>
      <c r="E12" s="543">
        <v>1</v>
      </c>
      <c r="F12" s="543"/>
      <c r="G12" s="543"/>
      <c r="H12" s="543"/>
      <c r="I12" s="543">
        <v>2</v>
      </c>
      <c r="J12" s="543"/>
      <c r="K12" s="543"/>
      <c r="L12" s="543"/>
      <c r="M12" s="543">
        <v>3</v>
      </c>
      <c r="N12" s="543"/>
      <c r="O12" s="543"/>
      <c r="P12" s="543"/>
      <c r="Q12" s="547"/>
      <c r="R12" s="549"/>
      <c r="S12" s="542"/>
      <c r="T12" s="542"/>
      <c r="U12" s="542"/>
      <c r="AB12" s="172"/>
    </row>
    <row r="13" spans="2:28" ht="27">
      <c r="C13" s="543"/>
      <c r="D13" s="543"/>
      <c r="E13" s="346" t="s">
        <v>150</v>
      </c>
      <c r="F13" s="345" t="s">
        <v>302</v>
      </c>
      <c r="G13" s="345" t="s">
        <v>152</v>
      </c>
      <c r="H13" s="345" t="s">
        <v>153</v>
      </c>
      <c r="I13" s="346" t="s">
        <v>150</v>
      </c>
      <c r="J13" s="345" t="s">
        <v>302</v>
      </c>
      <c r="K13" s="345" t="s">
        <v>152</v>
      </c>
      <c r="L13" s="345" t="s">
        <v>153</v>
      </c>
      <c r="M13" s="346" t="s">
        <v>150</v>
      </c>
      <c r="N13" s="345" t="s">
        <v>302</v>
      </c>
      <c r="O13" s="345" t="s">
        <v>152</v>
      </c>
      <c r="P13" s="345" t="s">
        <v>153</v>
      </c>
      <c r="Q13" s="547"/>
      <c r="R13" s="549"/>
      <c r="S13" s="345" t="s">
        <v>144</v>
      </c>
      <c r="T13" s="346" t="s">
        <v>168</v>
      </c>
      <c r="U13" s="543"/>
      <c r="W13" s="172" t="s">
        <v>170</v>
      </c>
      <c r="X13" s="267" t="s">
        <v>171</v>
      </c>
    </row>
    <row r="14" spans="2:28">
      <c r="C14" s="537" t="s">
        <v>145</v>
      </c>
      <c r="D14" s="180" t="s">
        <v>10</v>
      </c>
      <c r="E14" s="273">
        <f>IFERROR(VLOOKUP($D14,'미니게임_DATA(순)'!$A$4:$EV$45,106,0),0)</f>
        <v>134</v>
      </c>
      <c r="F14" s="273"/>
      <c r="G14" s="526">
        <f>RANK(E18,($E$18,$E$23,$E$28,$E$33,E$38))</f>
        <v>2</v>
      </c>
      <c r="H14" s="526">
        <f>G14</f>
        <v>2</v>
      </c>
      <c r="I14" s="273">
        <f>IFERROR(VLOOKUP($D14,'미니게임_DATA(순)'!$A$4:$EV$45,107,0),0)</f>
        <v>148</v>
      </c>
      <c r="J14" s="273"/>
      <c r="K14" s="526">
        <f>RANK(I18,($I$18,$I$23,$I$28,$I$33,I$38))</f>
        <v>4</v>
      </c>
      <c r="L14" s="526">
        <f>RANK(AA18,($AA$18,$AA$23,$AA$28,$AA$33,$AA$38))</f>
        <v>4</v>
      </c>
      <c r="M14" s="306">
        <f>IFERROR(VLOOKUP($D14,'미니게임_DATA(순)'!$A$4:$EV$45,108,0),0)</f>
        <v>176</v>
      </c>
      <c r="N14" s="273"/>
      <c r="O14" s="526">
        <f>RANK(M18,($M$18,$M$23,$M$28,$M$33,$M$38))</f>
        <v>2</v>
      </c>
      <c r="P14" s="526">
        <f>S14</f>
        <v>4</v>
      </c>
      <c r="Q14" s="273">
        <f t="shared" ref="Q14:Q34" si="0">E14+I14+M14</f>
        <v>458</v>
      </c>
      <c r="R14" s="274">
        <f>AVERAGE(E14,I14,M14)</f>
        <v>152.66666666666666</v>
      </c>
      <c r="S14" s="529">
        <f>RANK(Q18,($Q$18,$Q$23,$Q$28,$Q$33,$Q$38))</f>
        <v>4</v>
      </c>
      <c r="T14" s="541">
        <f>MAX($Q$18,$Q$23,Q$28,Q$33,Q$38)-Q18</f>
        <v>84</v>
      </c>
      <c r="U14" s="184">
        <f>IFERROR(R14-VLOOKUP(D14,'미니게임_DATA(순)'!$A:$DM,MATCH("rct 10g avg",'미니게임_DATA(순)'!$A$3:$DM$3,0),0),0)</f>
        <v>0</v>
      </c>
      <c r="W14" s="185">
        <f>MAX(E14,I14,M14)</f>
        <v>176</v>
      </c>
      <c r="X14" s="267">
        <f>R14</f>
        <v>152.66666666666666</v>
      </c>
      <c r="Y14" s="267" t="str">
        <f>VLOOKUP(Z14,'미니게임_DATA(순)'!$A$4:$C$45,3,0)</f>
        <v>남</v>
      </c>
      <c r="Z14" s="187" t="str">
        <f>D14</f>
        <v>김신철</v>
      </c>
    </row>
    <row r="15" spans="2:28">
      <c r="C15" s="538"/>
      <c r="D15" s="188" t="s">
        <v>38</v>
      </c>
      <c r="E15" s="306">
        <f>IFERROR(VLOOKUP($D15,'미니게임_DATA(순)'!$A$4:$EV$45,106,0),0)</f>
        <v>196</v>
      </c>
      <c r="F15" s="275"/>
      <c r="G15" s="527"/>
      <c r="H15" s="527"/>
      <c r="I15" s="306">
        <f>IFERROR(VLOOKUP($D15,'미니게임_DATA(순)'!$A$4:$EV$45,107,0),0)</f>
        <v>138</v>
      </c>
      <c r="J15" s="275"/>
      <c r="K15" s="527"/>
      <c r="L15" s="527"/>
      <c r="M15" s="306">
        <f>IFERROR(VLOOKUP($D15,'미니게임_DATA(순)'!$A$4:$EV$45,108,0),0)</f>
        <v>141</v>
      </c>
      <c r="N15" s="275"/>
      <c r="O15" s="527"/>
      <c r="P15" s="527"/>
      <c r="Q15" s="275">
        <f t="shared" si="0"/>
        <v>475</v>
      </c>
      <c r="R15" s="300">
        <f>AVERAGE(E15,I15,M15)</f>
        <v>158.33333333333334</v>
      </c>
      <c r="S15" s="530"/>
      <c r="T15" s="527"/>
      <c r="U15" s="190">
        <f>IFERROR(R15-VLOOKUP(D15,'미니게임_DATA(순)'!$A:$DM,MATCH("rct 10g avg",'미니게임_DATA(순)'!$A$3:$DM$3,0),0),0)</f>
        <v>0</v>
      </c>
      <c r="W15" s="185">
        <f>MAX(E15,I15,M15)</f>
        <v>196</v>
      </c>
      <c r="X15" s="267">
        <f t="shared" ref="X15:X16" si="1">R15</f>
        <v>158.33333333333334</v>
      </c>
      <c r="Y15" s="267" t="str">
        <f>VLOOKUP(Z15,'미니게임_DATA(순)'!$A$4:$C$45,3,0)</f>
        <v>남</v>
      </c>
      <c r="Z15" s="187" t="str">
        <f>D15</f>
        <v>이수용</v>
      </c>
    </row>
    <row r="16" spans="2:28">
      <c r="C16" s="538"/>
      <c r="D16" s="188"/>
      <c r="E16" s="275">
        <f>IFERROR(VLOOKUP(D16,'미니게임_DATA(순)'!$A$5:$DE$38,92,0),0)</f>
        <v>0</v>
      </c>
      <c r="F16" s="275"/>
      <c r="G16" s="527"/>
      <c r="H16" s="527"/>
      <c r="I16" s="275">
        <f>IFERROR(VLOOKUP(D16,'미니게임_DATA(순)'!$A$5:$DE$38,93,0),0)</f>
        <v>0</v>
      </c>
      <c r="J16" s="275"/>
      <c r="K16" s="527"/>
      <c r="L16" s="527"/>
      <c r="M16" s="275">
        <f>IFERROR(VLOOKUP(D16,'미니게임_DATA(순)'!$A$5:$DE$38,94,0),0)</f>
        <v>0</v>
      </c>
      <c r="N16" s="275"/>
      <c r="O16" s="527"/>
      <c r="P16" s="527"/>
      <c r="Q16" s="275">
        <f t="shared" si="0"/>
        <v>0</v>
      </c>
      <c r="R16" s="276">
        <f>IFERROR(VLOOKUP(D16,'미니게임_DATA(순)'!$DJ$5:$DK$41,2,0),0)</f>
        <v>0</v>
      </c>
      <c r="S16" s="530"/>
      <c r="T16" s="527"/>
      <c r="U16" s="190">
        <f>IFERROR(R16-VLOOKUP(D16,'미니게임_DATA(순)'!$A:$DM,MATCH("rct 10g avg",'미니게임_DATA(순)'!$A$3:$DM$3,0),0),0)</f>
        <v>0</v>
      </c>
      <c r="W16" s="185"/>
      <c r="X16" s="267">
        <f t="shared" si="1"/>
        <v>0</v>
      </c>
      <c r="Z16" s="187">
        <f>D16</f>
        <v>0</v>
      </c>
    </row>
    <row r="17" spans="3:27">
      <c r="C17" s="538"/>
      <c r="D17" s="191"/>
      <c r="E17" s="279"/>
      <c r="F17" s="279"/>
      <c r="G17" s="527"/>
      <c r="H17" s="527"/>
      <c r="I17" s="279"/>
      <c r="J17" s="279"/>
      <c r="K17" s="527"/>
      <c r="L17" s="527"/>
      <c r="M17" s="279"/>
      <c r="N17" s="279"/>
      <c r="O17" s="527"/>
      <c r="P17" s="527"/>
      <c r="Q17" s="279">
        <f t="shared" si="0"/>
        <v>0</v>
      </c>
      <c r="R17" s="276">
        <f t="shared" ref="R17" si="2">Q17/3</f>
        <v>0</v>
      </c>
      <c r="S17" s="530"/>
      <c r="T17" s="527"/>
      <c r="U17" s="190">
        <f>IFERROR(R17-VLOOKUP(D17,'미니게임_DATA(순)'!$A:$DM,MATCH("rct 10g avg",'미니게임_DATA(순)'!$A$3:$DM$3,0),0),0)</f>
        <v>0</v>
      </c>
      <c r="W17" s="185"/>
      <c r="Z17" s="187"/>
    </row>
    <row r="18" spans="3:27" ht="16.5">
      <c r="C18" s="539"/>
      <c r="D18" s="344"/>
      <c r="E18" s="535">
        <f>SUMIF(E14:F17, "&gt;0")</f>
        <v>330</v>
      </c>
      <c r="F18" s="498"/>
      <c r="G18" s="528"/>
      <c r="H18" s="528"/>
      <c r="I18" s="535">
        <f>SUMIF(I14:I17, "&gt;0")</f>
        <v>286</v>
      </c>
      <c r="J18" s="498"/>
      <c r="K18" s="528"/>
      <c r="L18" s="528"/>
      <c r="M18" s="535">
        <f>SUMIF(M14:M17, "&gt;0")</f>
        <v>317</v>
      </c>
      <c r="N18" s="498"/>
      <c r="O18" s="528"/>
      <c r="P18" s="528"/>
      <c r="Q18" s="272">
        <f t="shared" si="0"/>
        <v>933</v>
      </c>
      <c r="R18" s="196"/>
      <c r="S18" s="531"/>
      <c r="T18" s="528"/>
      <c r="U18" s="277">
        <f>IFERROR(R18-VLOOKUP(D18,'미니게임_DATA(순)'!$A:$DM,MATCH("rct 10g avg",'미니게임_DATA(순)'!$A$3:$DM$3,0),0),0)</f>
        <v>0</v>
      </c>
      <c r="V18" s="185"/>
      <c r="W18" s="185"/>
      <c r="Z18" s="187">
        <f>D18</f>
        <v>0</v>
      </c>
      <c r="AA18" s="187">
        <f>SUM(E18,I18)</f>
        <v>616</v>
      </c>
    </row>
    <row r="19" spans="3:27">
      <c r="C19" s="537" t="s">
        <v>146</v>
      </c>
      <c r="D19" s="180" t="s">
        <v>9</v>
      </c>
      <c r="E19" s="306">
        <f>IFERROR(VLOOKUP($D19,'미니게임_DATA(순)'!$A$4:$EV$45,106,0),0)</f>
        <v>200</v>
      </c>
      <c r="F19" s="273"/>
      <c r="G19" s="526">
        <f>RANK(E23,($E$18,$E$23,$E$28,$E$33,E$38))</f>
        <v>1</v>
      </c>
      <c r="H19" s="526">
        <f t="shared" ref="H19" si="3">G19</f>
        <v>1</v>
      </c>
      <c r="I19" s="306">
        <f>IFERROR(VLOOKUP($D19,'미니게임_DATA(순)'!$A$4:$EV$45,107,0),0)</f>
        <v>167</v>
      </c>
      <c r="J19" s="273"/>
      <c r="K19" s="526">
        <f>RANK(I23,($I$18,$I$23,$I$28,$I$33,I$38))</f>
        <v>3</v>
      </c>
      <c r="L19" s="526">
        <f>RANK(AA23,($AA$18,$AA$23,$AA$28,$AA$33,$AA$38))</f>
        <v>1</v>
      </c>
      <c r="M19" s="306">
        <f>IFERROR(VLOOKUP($D19,'미니게임_DATA(순)'!$A$4:$EV$45,108,0),0)</f>
        <v>173</v>
      </c>
      <c r="N19" s="273"/>
      <c r="O19" s="526">
        <f>RANK(M23,($M$18,$M$23,$M$28,$M$33,$M$38))</f>
        <v>3</v>
      </c>
      <c r="P19" s="526">
        <f t="shared" ref="P19" si="4">S19</f>
        <v>1</v>
      </c>
      <c r="Q19" s="273">
        <f t="shared" si="0"/>
        <v>540</v>
      </c>
      <c r="R19" s="274">
        <f>AVERAGE(E19,I19,M19)</f>
        <v>180</v>
      </c>
      <c r="S19" s="529">
        <f>RANK(Q23,($Q$18,$Q$23,$Q$28,$Q$33,$Q$38))</f>
        <v>1</v>
      </c>
      <c r="T19" s="532">
        <f>MAX($Q$18,$Q$23,Q$28,Q$33,Q$38)-Q23</f>
        <v>0</v>
      </c>
      <c r="U19" s="184">
        <f>IFERROR(R19-VLOOKUP(D19,'미니게임_DATA(순)'!$A:$DM,MATCH("rct 10g avg",'미니게임_DATA(순)'!$A$3:$DM$3,0),0),0)</f>
        <v>0</v>
      </c>
      <c r="W19" s="185">
        <f>MAX(E19,I19,M19)</f>
        <v>200</v>
      </c>
      <c r="X19" s="267">
        <f>R19</f>
        <v>180</v>
      </c>
      <c r="Y19" s="267" t="str">
        <f>VLOOKUP(Z19,'미니게임_DATA(순)'!$A$4:$C$45,3,0)</f>
        <v>남</v>
      </c>
      <c r="Z19" s="187" t="str">
        <f>D19</f>
        <v>백동민</v>
      </c>
    </row>
    <row r="20" spans="3:27">
      <c r="C20" s="538"/>
      <c r="D20" s="188" t="s">
        <v>17</v>
      </c>
      <c r="E20" s="306">
        <f>IFERROR(VLOOKUP($D20,'미니게임_DATA(순)'!$A$4:$EV$45,106,0),0)</f>
        <v>178</v>
      </c>
      <c r="F20" s="275"/>
      <c r="G20" s="527"/>
      <c r="H20" s="527"/>
      <c r="I20" s="306">
        <f>IFERROR(VLOOKUP($D20,'미니게임_DATA(순)'!$A$4:$EV$45,107,0),0)</f>
        <v>165</v>
      </c>
      <c r="J20" s="275"/>
      <c r="K20" s="527"/>
      <c r="L20" s="527"/>
      <c r="M20" s="306">
        <f>IFERROR(VLOOKUP($D20,'미니게임_DATA(순)'!$A$4:$EV$45,108,0),0)</f>
        <v>134</v>
      </c>
      <c r="N20" s="275"/>
      <c r="O20" s="527"/>
      <c r="P20" s="527"/>
      <c r="Q20" s="275">
        <f t="shared" si="0"/>
        <v>477</v>
      </c>
      <c r="R20" s="300">
        <f>AVERAGE(E20,I20,M20)</f>
        <v>159</v>
      </c>
      <c r="S20" s="530"/>
      <c r="T20" s="533"/>
      <c r="U20" s="190">
        <f>IFERROR(R20-VLOOKUP(D20,'미니게임_DATA(순)'!$A:$DM,MATCH("rct 10g avg",'미니게임_DATA(순)'!$A$3:$DM$3,0),0),0)</f>
        <v>0</v>
      </c>
      <c r="W20" s="185">
        <f>MAX(E20,I20,M20)</f>
        <v>178</v>
      </c>
      <c r="X20" s="267">
        <f>R20</f>
        <v>159</v>
      </c>
      <c r="Y20" s="267" t="str">
        <f>VLOOKUP(Z20,'미니게임_DATA(순)'!$A$4:$C$45,3,0)</f>
        <v>남</v>
      </c>
      <c r="Z20" s="187" t="str">
        <f>D20</f>
        <v>한희용</v>
      </c>
    </row>
    <row r="21" spans="3:27">
      <c r="C21" s="538"/>
      <c r="D21" s="188"/>
      <c r="E21" s="275">
        <f>IFERROR(VLOOKUP(D21,'미니게임_DATA(순)'!$A$5:$DE$38,92,0),0)</f>
        <v>0</v>
      </c>
      <c r="F21" s="275"/>
      <c r="G21" s="527"/>
      <c r="H21" s="527"/>
      <c r="I21" s="275">
        <f>IFERROR(VLOOKUP(D21,'미니게임_DATA(순)'!$A$5:$DE$38,93,0),0)</f>
        <v>0</v>
      </c>
      <c r="J21" s="275"/>
      <c r="K21" s="527"/>
      <c r="L21" s="527"/>
      <c r="M21" s="275">
        <f>IFERROR(VLOOKUP(D21,'미니게임_DATA(순)'!$A$5:$DE$38,94,0),0)</f>
        <v>0</v>
      </c>
      <c r="N21" s="275"/>
      <c r="O21" s="527"/>
      <c r="P21" s="527"/>
      <c r="Q21" s="275">
        <f t="shared" si="0"/>
        <v>0</v>
      </c>
      <c r="R21" s="300">
        <f>IFERROR(VLOOKUP(D21,'미니게임_DATA(순)'!$DJ$5:$DK$41,2,0),0)</f>
        <v>0</v>
      </c>
      <c r="S21" s="530"/>
      <c r="T21" s="533"/>
      <c r="U21" s="190">
        <f>IFERROR(R21-VLOOKUP(D21,'미니게임_DATA(순)'!$A:$DM,MATCH("rct 10g avg",'미니게임_DATA(순)'!$A$3:$DM$3,0),0),0)</f>
        <v>0</v>
      </c>
      <c r="W21" s="185"/>
      <c r="X21" s="267">
        <f>R21</f>
        <v>0</v>
      </c>
      <c r="Z21" s="187">
        <f>D21</f>
        <v>0</v>
      </c>
    </row>
    <row r="22" spans="3:27">
      <c r="C22" s="538"/>
      <c r="D22" s="188"/>
      <c r="E22" s="279"/>
      <c r="F22" s="279"/>
      <c r="G22" s="527"/>
      <c r="H22" s="527"/>
      <c r="I22" s="279"/>
      <c r="J22" s="279"/>
      <c r="K22" s="527"/>
      <c r="L22" s="527"/>
      <c r="M22" s="279"/>
      <c r="N22" s="279"/>
      <c r="O22" s="527"/>
      <c r="P22" s="527"/>
      <c r="Q22" s="279">
        <f t="shared" si="0"/>
        <v>0</v>
      </c>
      <c r="R22" s="276">
        <f t="shared" ref="R22" si="5">Q22/3</f>
        <v>0</v>
      </c>
      <c r="S22" s="530"/>
      <c r="T22" s="533"/>
      <c r="U22" s="190">
        <f>IFERROR(R22-VLOOKUP(D22,'미니게임_DATA(순)'!$A:$DM,MATCH("rct 10g avg",'미니게임_DATA(순)'!$A$3:$DM$3,0),0),0)</f>
        <v>0</v>
      </c>
      <c r="W22" s="185"/>
      <c r="Z22" s="187"/>
    </row>
    <row r="23" spans="3:27" ht="16.5">
      <c r="C23" s="539"/>
      <c r="D23" s="344"/>
      <c r="E23" s="535">
        <f>SUMIF(E19:F22, "&gt;0")</f>
        <v>378</v>
      </c>
      <c r="F23" s="498"/>
      <c r="G23" s="528"/>
      <c r="H23" s="528"/>
      <c r="I23" s="535">
        <f>SUMIF(I19:J22, "&gt;0")</f>
        <v>332</v>
      </c>
      <c r="J23" s="498"/>
      <c r="K23" s="528"/>
      <c r="L23" s="528"/>
      <c r="M23" s="535">
        <f>SUMIF(M19:N22, "&gt;0")</f>
        <v>307</v>
      </c>
      <c r="N23" s="498"/>
      <c r="O23" s="528"/>
      <c r="P23" s="528"/>
      <c r="Q23" s="272">
        <f t="shared" si="0"/>
        <v>1017</v>
      </c>
      <c r="R23" s="196"/>
      <c r="S23" s="531"/>
      <c r="T23" s="534"/>
      <c r="U23" s="277">
        <f>IFERROR(R23-VLOOKUP(D23,'미니게임_DATA(순)'!$A:$DM,MATCH("rct 10g avg",'미니게임_DATA(순)'!$A$3:$DM$3,0),0),0)</f>
        <v>0</v>
      </c>
      <c r="V23" s="185"/>
      <c r="W23" s="185"/>
      <c r="Z23" s="187">
        <f>D23</f>
        <v>0</v>
      </c>
      <c r="AA23" s="187">
        <f>SUM(E23,I23)</f>
        <v>710</v>
      </c>
    </row>
    <row r="24" spans="3:27">
      <c r="C24" s="537" t="s">
        <v>147</v>
      </c>
      <c r="D24" s="180" t="s">
        <v>8</v>
      </c>
      <c r="E24" s="306">
        <f>IFERROR(VLOOKUP($D24,'미니게임_DATA(순)'!$A$4:$EV$45,106,0),0)</f>
        <v>145</v>
      </c>
      <c r="F24" s="273"/>
      <c r="G24" s="526">
        <f>RANK(E28,($E$18,$E$23,$E$28,$E$33,E$38))</f>
        <v>4</v>
      </c>
      <c r="H24" s="526">
        <f t="shared" ref="H24" si="6">G24</f>
        <v>4</v>
      </c>
      <c r="I24" s="306">
        <f>IFERROR(VLOOKUP($D24,'미니게임_DATA(순)'!$A$4:$EV$45,107,0),0)</f>
        <v>170</v>
      </c>
      <c r="J24" s="273"/>
      <c r="K24" s="526">
        <f>RANK(I28,($I$18,$I$23,$I$28,$I$33,I$38))</f>
        <v>2</v>
      </c>
      <c r="L24" s="526">
        <f>RANK(AA28,($AA$18,$AA$23,$AA$28,$AA$33,$AA$38))</f>
        <v>3</v>
      </c>
      <c r="M24" s="306">
        <f>IFERROR(VLOOKUP($D24,'미니게임_DATA(순)'!$A$4:$EV$45,108,0),0)</f>
        <v>164</v>
      </c>
      <c r="N24" s="273"/>
      <c r="O24" s="526">
        <f>RANK(M28,($M$18,$M$23,$M$28,$M$33,$M$38))</f>
        <v>1</v>
      </c>
      <c r="P24" s="526">
        <f t="shared" ref="P24" si="7">S24</f>
        <v>3</v>
      </c>
      <c r="Q24" s="273">
        <f t="shared" si="0"/>
        <v>479</v>
      </c>
      <c r="R24" s="274">
        <f>AVERAGE(E24,I24,M24)</f>
        <v>159.66666666666666</v>
      </c>
      <c r="S24" s="529">
        <f>RANK(Q28,($Q$18,$Q$23,$Q$28,$Q$33,$Q$38))</f>
        <v>3</v>
      </c>
      <c r="T24" s="532">
        <f>MAX($Q$18,$Q$23,Q$28,Q$33,Q$38)-Q28</f>
        <v>50</v>
      </c>
      <c r="U24" s="184">
        <f>IFERROR(R24-VLOOKUP(D24,'미니게임_DATA(순)'!$A:$DM,MATCH("rct 10g avg",'미니게임_DATA(순)'!$A$3:$DM$3,0),0),0)</f>
        <v>0</v>
      </c>
      <c r="W24" s="185">
        <f>MAX(E24,I24,M24)</f>
        <v>170</v>
      </c>
      <c r="X24" s="267">
        <f>R24</f>
        <v>159.66666666666666</v>
      </c>
      <c r="Y24" s="267" t="str">
        <f>VLOOKUP(Z24,'미니게임_DATA(순)'!$A$4:$C$45,3,0)</f>
        <v>남</v>
      </c>
      <c r="Z24" s="187" t="str">
        <f>D24</f>
        <v>조문수</v>
      </c>
    </row>
    <row r="25" spans="3:27">
      <c r="C25" s="538"/>
      <c r="D25" s="188" t="s">
        <v>11</v>
      </c>
      <c r="E25" s="306">
        <f>IFERROR(VLOOKUP($D25,'미니게임_DATA(순)'!$A$4:$EV$45,106,0),0)</f>
        <v>153</v>
      </c>
      <c r="F25" s="275"/>
      <c r="G25" s="527"/>
      <c r="H25" s="527"/>
      <c r="I25" s="306">
        <f>IFERROR(VLOOKUP($D25,'미니게임_DATA(순)'!$A$4:$EV$45,107,0),0)</f>
        <v>165</v>
      </c>
      <c r="J25" s="275"/>
      <c r="K25" s="527"/>
      <c r="L25" s="527"/>
      <c r="M25" s="306">
        <f>IFERROR(VLOOKUP($D25,'미니게임_DATA(순)'!$A$4:$EV$45,108,0),0)</f>
        <v>170</v>
      </c>
      <c r="N25" s="275"/>
      <c r="O25" s="527"/>
      <c r="P25" s="527"/>
      <c r="Q25" s="275">
        <f t="shared" si="0"/>
        <v>488</v>
      </c>
      <c r="R25" s="300">
        <f>AVERAGE(E25,I25,M25)</f>
        <v>162.66666666666666</v>
      </c>
      <c r="S25" s="530"/>
      <c r="T25" s="533"/>
      <c r="U25" s="190">
        <f>IFERROR(R25-VLOOKUP(D25,'미니게임_DATA(순)'!$A:$DM,MATCH("rct 10g avg",'미니게임_DATA(순)'!$A$3:$DM$3,0),0),0)</f>
        <v>0</v>
      </c>
      <c r="W25" s="185">
        <f>MAX(E25,I25,M25)</f>
        <v>170</v>
      </c>
      <c r="X25" s="267">
        <f>R25</f>
        <v>162.66666666666666</v>
      </c>
      <c r="Y25" s="267" t="str">
        <f>VLOOKUP(Z25,'미니게임_DATA(순)'!$A$4:$C$45,3,0)</f>
        <v>남</v>
      </c>
      <c r="Z25" s="187" t="str">
        <f>D25</f>
        <v>박용승</v>
      </c>
    </row>
    <row r="26" spans="3:27">
      <c r="C26" s="538"/>
      <c r="D26" s="188"/>
      <c r="E26" s="275">
        <f>IFERROR(VLOOKUP(D26,'미니게임_DATA(순)'!$A$5:$DE$38,92,0),0)</f>
        <v>0</v>
      </c>
      <c r="F26" s="275"/>
      <c r="G26" s="527"/>
      <c r="H26" s="527"/>
      <c r="I26" s="275">
        <f>IFERROR(VLOOKUP(D26,'미니게임_DATA(순)'!$A$5:$DE$38,93,0),0)</f>
        <v>0</v>
      </c>
      <c r="J26" s="275"/>
      <c r="K26" s="527"/>
      <c r="L26" s="527"/>
      <c r="M26" s="275">
        <f>IFERROR(VLOOKUP(D26,'미니게임_DATA(순)'!$A$5:$DE$38,94,0),0)</f>
        <v>0</v>
      </c>
      <c r="N26" s="275"/>
      <c r="O26" s="527"/>
      <c r="P26" s="527"/>
      <c r="Q26" s="275">
        <f t="shared" si="0"/>
        <v>0</v>
      </c>
      <c r="R26" s="300">
        <f>IFERROR(VLOOKUP(D26,'미니게임_DATA(순)'!$DJ$5:$DK$41,2,0),0)</f>
        <v>0</v>
      </c>
      <c r="S26" s="530"/>
      <c r="T26" s="533"/>
      <c r="U26" s="190">
        <f>IFERROR(R26-VLOOKUP(D26,'미니게임_DATA(순)'!$A:$DM,MATCH("rct 10g avg",'미니게임_DATA(순)'!$A$3:$DM$3,0),0),0)</f>
        <v>0</v>
      </c>
      <c r="W26" s="185"/>
      <c r="X26" s="267">
        <f>R26</f>
        <v>0</v>
      </c>
      <c r="Z26" s="187">
        <f>D26</f>
        <v>0</v>
      </c>
    </row>
    <row r="27" spans="3:27">
      <c r="C27" s="538"/>
      <c r="D27" s="188"/>
      <c r="E27" s="279">
        <f>IFERROR(VLOOKUP(D27,미니게임_DATA!$A:$GT,6,0),0)</f>
        <v>0</v>
      </c>
      <c r="F27" s="279"/>
      <c r="G27" s="527"/>
      <c r="H27" s="527"/>
      <c r="I27" s="279">
        <f>IFERROR(VLOOKUP(D27,미니게임_DATA!$A:$GT,7,0),0)</f>
        <v>0</v>
      </c>
      <c r="J27" s="279"/>
      <c r="K27" s="527"/>
      <c r="L27" s="527"/>
      <c r="M27" s="279">
        <f>IFERROR(VLOOKUP(D27,미니게임_DATA!$A:$GT,8,0),0)</f>
        <v>0</v>
      </c>
      <c r="N27" s="279"/>
      <c r="O27" s="527"/>
      <c r="P27" s="527"/>
      <c r="Q27" s="279">
        <f t="shared" si="0"/>
        <v>0</v>
      </c>
      <c r="R27" s="276">
        <f t="shared" ref="R27" si="8">Q27/3</f>
        <v>0</v>
      </c>
      <c r="S27" s="530"/>
      <c r="T27" s="533"/>
      <c r="U27" s="190">
        <f>IFERROR(R27-VLOOKUP(D27,'미니게임_DATA(순)'!$A:$DM,MATCH("rct 10g avg",'미니게임_DATA(순)'!$A$3:$DM$3,0),0),0)</f>
        <v>0</v>
      </c>
      <c r="W27" s="185"/>
      <c r="Z27" s="187"/>
    </row>
    <row r="28" spans="3:27" ht="16.5">
      <c r="C28" s="539"/>
      <c r="D28" s="344"/>
      <c r="E28" s="535">
        <f>SUMIF(E24:F27, "&gt;0")</f>
        <v>298</v>
      </c>
      <c r="F28" s="498"/>
      <c r="G28" s="528"/>
      <c r="H28" s="528"/>
      <c r="I28" s="535">
        <f>SUMIF(I24:J27, "&gt;0")</f>
        <v>335</v>
      </c>
      <c r="J28" s="498"/>
      <c r="K28" s="528"/>
      <c r="L28" s="528"/>
      <c r="M28" s="535">
        <f>SUMIF(M24:N27, "&gt;0")</f>
        <v>334</v>
      </c>
      <c r="N28" s="498"/>
      <c r="O28" s="528"/>
      <c r="P28" s="528"/>
      <c r="Q28" s="272">
        <f t="shared" si="0"/>
        <v>967</v>
      </c>
      <c r="R28" s="196"/>
      <c r="S28" s="531"/>
      <c r="T28" s="534"/>
      <c r="U28" s="277">
        <f>IFERROR(R28-VLOOKUP(D28,'미니게임_DATA(순)'!$A:$DM,MATCH("rct 10g avg",'미니게임_DATA(순)'!$A$3:$DM$3,0),0),0)</f>
        <v>0</v>
      </c>
      <c r="V28" s="185"/>
      <c r="W28" s="185"/>
      <c r="Z28" s="187">
        <f>D28</f>
        <v>0</v>
      </c>
      <c r="AA28" s="187">
        <f>SUM(E28,I28)</f>
        <v>633</v>
      </c>
    </row>
    <row r="29" spans="3:27">
      <c r="C29" s="537" t="s">
        <v>148</v>
      </c>
      <c r="D29" s="180" t="s">
        <v>37</v>
      </c>
      <c r="E29" s="306">
        <f>IFERROR(VLOOKUP($D29,'미니게임_DATA(순)'!$A$4:$EV$45,106,0),0)</f>
        <v>149</v>
      </c>
      <c r="F29" s="273"/>
      <c r="G29" s="526">
        <f>RANK(E33,($E$18,$E$23,$E$28,$E$33,$E$38))</f>
        <v>3</v>
      </c>
      <c r="H29" s="526">
        <f t="shared" ref="H29" si="9">G29</f>
        <v>3</v>
      </c>
      <c r="I29" s="306">
        <f>IFERROR(VLOOKUP($D29,'미니게임_DATA(순)'!$A$4:$EV$45,107,0),0)</f>
        <v>214</v>
      </c>
      <c r="J29" s="273"/>
      <c r="K29" s="526">
        <f>RANK(I33,($I$18,$I$23,$I$28,$I$33,I$38))</f>
        <v>1</v>
      </c>
      <c r="L29" s="526">
        <f>RANK(AA33,($AA$18,$AA$23,$AA$28,$AA$33,$AA$38))</f>
        <v>2</v>
      </c>
      <c r="M29" s="306">
        <f>IFERROR(VLOOKUP($D29,'미니게임_DATA(순)'!$A$4:$EV$45,108,0),0)</f>
        <v>155</v>
      </c>
      <c r="N29" s="273"/>
      <c r="O29" s="526">
        <f>RANK(M33,($M$18,$M$23,$M$28,$M$33,$M$38))</f>
        <v>4</v>
      </c>
      <c r="P29" s="526">
        <f t="shared" ref="P29" si="10">S29</f>
        <v>2</v>
      </c>
      <c r="Q29" s="273">
        <f t="shared" si="0"/>
        <v>518</v>
      </c>
      <c r="R29" s="274">
        <f>AVERAGE(E29,I29,M29)</f>
        <v>172.66666666666666</v>
      </c>
      <c r="S29" s="529">
        <f>RANK(Q33,($Q$18,$Q$23,$Q$28,$Q$33,$Q$38))</f>
        <v>2</v>
      </c>
      <c r="T29" s="532">
        <f>MAX($Q$18,$Q$23,Q$28,Q$33,Q$38)-Q33</f>
        <v>38</v>
      </c>
      <c r="U29" s="184">
        <f>IFERROR(R29-VLOOKUP(D29,'미니게임_DATA(순)'!$A:$DM,MATCH("rct 10g avg",'미니게임_DATA(순)'!$A$3:$DM$3,0),0),0)</f>
        <v>0</v>
      </c>
      <c r="W29" s="185">
        <f>MAX(E29,I29,M29)</f>
        <v>214</v>
      </c>
      <c r="X29" s="267">
        <f>R29</f>
        <v>172.66666666666666</v>
      </c>
      <c r="Y29" s="267" t="str">
        <f>VLOOKUP(Z29,'미니게임_DATA(순)'!$A$4:$C$45,3,0)</f>
        <v>남</v>
      </c>
      <c r="Z29" s="187" t="str">
        <f>D29</f>
        <v>최은규</v>
      </c>
    </row>
    <row r="30" spans="3:27">
      <c r="C30" s="538"/>
      <c r="D30" s="188" t="s">
        <v>12</v>
      </c>
      <c r="E30" s="306">
        <f>IFERROR(VLOOKUP($D30,'미니게임_DATA(순)'!$A$4:$EV$45,106,0),0)</f>
        <v>169</v>
      </c>
      <c r="F30" s="275">
        <v>5</v>
      </c>
      <c r="G30" s="527"/>
      <c r="H30" s="527"/>
      <c r="I30" s="306">
        <f>IFERROR(VLOOKUP($D30,'미니게임_DATA(순)'!$A$4:$EV$45,107,0),0)</f>
        <v>156</v>
      </c>
      <c r="J30" s="275">
        <v>5</v>
      </c>
      <c r="K30" s="527"/>
      <c r="L30" s="527"/>
      <c r="M30" s="306">
        <f>IFERROR(VLOOKUP($D30,'미니게임_DATA(순)'!$A$4:$EV$45,108,0),0)</f>
        <v>121</v>
      </c>
      <c r="N30" s="275">
        <v>5</v>
      </c>
      <c r="O30" s="527"/>
      <c r="P30" s="527"/>
      <c r="Q30" s="275">
        <f t="shared" si="0"/>
        <v>446</v>
      </c>
      <c r="R30" s="300">
        <f>AVERAGE(E30,I30,M30)</f>
        <v>148.66666666666666</v>
      </c>
      <c r="S30" s="530"/>
      <c r="T30" s="533"/>
      <c r="U30" s="190">
        <f>IFERROR(R30-VLOOKUP(D30,'미니게임_DATA(순)'!$A:$DM,MATCH("rct 10g avg",'미니게임_DATA(순)'!$A$3:$DM$3,0),0),0)</f>
        <v>0</v>
      </c>
      <c r="W30" s="185">
        <f>MAX(E30,I30,M30)</f>
        <v>169</v>
      </c>
      <c r="X30" s="267">
        <f>R30</f>
        <v>148.66666666666666</v>
      </c>
      <c r="Y30" s="267" t="str">
        <f>VLOOKUP(Z30,'미니게임_DATA(순)'!$A$4:$C$45,3,0)</f>
        <v>여</v>
      </c>
      <c r="Z30" s="187" t="str">
        <f>D30</f>
        <v>성소라</v>
      </c>
    </row>
    <row r="31" spans="3:27">
      <c r="C31" s="538"/>
      <c r="D31" s="188"/>
      <c r="E31" s="275">
        <f>IFERROR(VLOOKUP(D31,'미니게임_DATA(순)'!$A$5:$DE$38,92,0),0)</f>
        <v>0</v>
      </c>
      <c r="F31" s="275"/>
      <c r="G31" s="527"/>
      <c r="H31" s="527"/>
      <c r="I31" s="275">
        <f>IFERROR(VLOOKUP(D31,'미니게임_DATA(순)'!$A$5:$DE$38,93,0),0)</f>
        <v>0</v>
      </c>
      <c r="J31" s="275"/>
      <c r="K31" s="527"/>
      <c r="L31" s="527"/>
      <c r="M31" s="275">
        <f>IFERROR(VLOOKUP(D31,'미니게임_DATA(순)'!$A$5:$DE$38,94,0),0)</f>
        <v>0</v>
      </c>
      <c r="N31" s="275"/>
      <c r="O31" s="527"/>
      <c r="P31" s="527"/>
      <c r="Q31" s="275">
        <f t="shared" si="0"/>
        <v>0</v>
      </c>
      <c r="R31" s="300">
        <f>IFERROR(VLOOKUP(D31,'미니게임_DATA(순)'!$DJ$5:$DK$41,2,0),0)</f>
        <v>0</v>
      </c>
      <c r="S31" s="530"/>
      <c r="T31" s="533"/>
      <c r="U31" s="190">
        <f>IFERROR(R31-VLOOKUP(D31,'미니게임_DATA(순)'!$A:$DM,MATCH("rct 10g avg",'미니게임_DATA(순)'!$A$3:$DM$3,0),0),0)</f>
        <v>0</v>
      </c>
      <c r="W31" s="185"/>
      <c r="X31" s="267">
        <f>R31</f>
        <v>0</v>
      </c>
      <c r="Z31" s="187">
        <f>D31</f>
        <v>0</v>
      </c>
    </row>
    <row r="32" spans="3:27">
      <c r="C32" s="538"/>
      <c r="D32" s="188"/>
      <c r="E32" s="279"/>
      <c r="F32" s="279"/>
      <c r="G32" s="527"/>
      <c r="H32" s="527"/>
      <c r="I32" s="279"/>
      <c r="J32" s="279"/>
      <c r="K32" s="527"/>
      <c r="L32" s="527"/>
      <c r="M32" s="279">
        <f>IFERROR(VLOOKUP(D32,'미니게임_DATA(순)'!$A$5:$BU$38,73,0),0)</f>
        <v>0</v>
      </c>
      <c r="N32" s="279"/>
      <c r="O32" s="527"/>
      <c r="P32" s="527"/>
      <c r="Q32" s="279">
        <f t="shared" si="0"/>
        <v>0</v>
      </c>
      <c r="R32" s="276">
        <f t="shared" ref="R32" si="11">Q32/3</f>
        <v>0</v>
      </c>
      <c r="S32" s="530"/>
      <c r="T32" s="533"/>
      <c r="U32" s="190">
        <f>IFERROR(R32-VLOOKUP(D32,'미니게임_DATA(순)'!$A:$DM,MATCH("rct 10g avg",'미니게임_DATA(순)'!$A$3:$DM$3,0),0),0)</f>
        <v>0</v>
      </c>
      <c r="W32" s="185"/>
      <c r="Z32" s="187"/>
    </row>
    <row r="33" spans="2:28" ht="16.5">
      <c r="C33" s="539"/>
      <c r="D33" s="344"/>
      <c r="E33" s="535">
        <f>SUMIF(E29:F32, "&gt;0")</f>
        <v>323</v>
      </c>
      <c r="F33" s="498"/>
      <c r="G33" s="528"/>
      <c r="H33" s="528"/>
      <c r="I33" s="535">
        <f>SUMIF(I29:J32, "&gt;0")</f>
        <v>375</v>
      </c>
      <c r="J33" s="498"/>
      <c r="K33" s="528"/>
      <c r="L33" s="528"/>
      <c r="M33" s="535">
        <f>SUMIF(M29:N32, "&gt;0")</f>
        <v>281</v>
      </c>
      <c r="N33" s="498"/>
      <c r="O33" s="528"/>
      <c r="P33" s="528"/>
      <c r="Q33" s="272">
        <f t="shared" si="0"/>
        <v>979</v>
      </c>
      <c r="R33" s="196"/>
      <c r="S33" s="531"/>
      <c r="T33" s="534"/>
      <c r="U33" s="277">
        <f>IFERROR(R33-VLOOKUP(D33,'미니게임_DATA(순)'!$A:$DM,MATCH("rct 10g avg",'미니게임_DATA(순)'!$A$3:$DM$3,0),0),0)</f>
        <v>0</v>
      </c>
      <c r="V33" s="185"/>
      <c r="W33" s="185"/>
      <c r="Z33" s="187">
        <f>D33</f>
        <v>0</v>
      </c>
      <c r="AA33" s="187">
        <f>SUM(E33,I33)</f>
        <v>698</v>
      </c>
    </row>
    <row r="34" spans="2:28">
      <c r="C34" s="537" t="s">
        <v>149</v>
      </c>
      <c r="D34" s="180"/>
      <c r="E34" s="299">
        <f>IFERROR(VLOOKUP(D34,'미니게임_DATA(순)'!$A$5:$DE$38,98,0),0)</f>
        <v>0</v>
      </c>
      <c r="F34" s="273"/>
      <c r="G34" s="526">
        <f>RANK(E38,($E$18,$E$23,$E$28,$E$33,$E$38))</f>
        <v>5</v>
      </c>
      <c r="H34" s="526">
        <f t="shared" ref="H34" si="12">G34</f>
        <v>5</v>
      </c>
      <c r="I34" s="299">
        <f>IFERROR(VLOOKUP(D34,'미니게임_DATA(순)'!$A$5:$DE$38,99,0),0)</f>
        <v>0</v>
      </c>
      <c r="J34" s="273"/>
      <c r="K34" s="526">
        <f>RANK(I38,($I$18,$I$23,$I$28,$I$33,I$38))</f>
        <v>5</v>
      </c>
      <c r="L34" s="526">
        <f>RANK(AA38,($AA$18,$AA$23,$AA$28,$AA$33,$AA$38))</f>
        <v>5</v>
      </c>
      <c r="M34" s="273">
        <f>IFERROR(VLOOKUP(D34,'미니게임_DATA(순)'!$A$5:$DE$38,100,0),0)</f>
        <v>0</v>
      </c>
      <c r="N34" s="273"/>
      <c r="O34" s="526">
        <f>RANK(M38,($M$18,$M$23,$M$28,$M$33,$M$38))</f>
        <v>5</v>
      </c>
      <c r="P34" s="526">
        <f t="shared" ref="P34" si="13">S34</f>
        <v>5</v>
      </c>
      <c r="Q34" s="273">
        <f t="shared" si="0"/>
        <v>0</v>
      </c>
      <c r="R34" s="300">
        <f>IFERROR(VLOOKUP(D34,'미니게임_DATA(순)'!$DJ$5:$DK$41,2,0),0)</f>
        <v>0</v>
      </c>
      <c r="S34" s="529">
        <f>RANK(Q38,($Q$18,$Q$23,$Q$28,$Q$33,$Q$38))</f>
        <v>5</v>
      </c>
      <c r="T34" s="532">
        <f>MAX($Q$18,$Q$23,Q$28,Q$33,Q$38)-Q38</f>
        <v>1017</v>
      </c>
      <c r="U34" s="184">
        <f>IFERROR(R34-VLOOKUP(D34,'미니게임_DATA(순)'!$A:$DM,MATCH("rct 10g avg",'미니게임_DATA(순)'!$A$3:$DM$3,0),0),0)</f>
        <v>0</v>
      </c>
      <c r="W34" s="185">
        <f t="array" ref="W34">MAX(IF('미니게임_DATA(순)'!$A$5:$A$41=Z34,'미니게임_DATA(순)'!$CT$5:$CV$41))</f>
        <v>0</v>
      </c>
      <c r="X34" s="267">
        <f>R34</f>
        <v>0</v>
      </c>
      <c r="Z34" s="187">
        <f>D34</f>
        <v>0</v>
      </c>
    </row>
    <row r="35" spans="2:28" s="172" customFormat="1">
      <c r="B35" s="169"/>
      <c r="C35" s="538"/>
      <c r="D35" s="188"/>
      <c r="E35" s="275">
        <f>IFERROR(VLOOKUP(D35,'미니게임_DATA(순)'!$A$5:$DE$38,98,0),0)</f>
        <v>0</v>
      </c>
      <c r="F35" s="275"/>
      <c r="G35" s="527"/>
      <c r="H35" s="527"/>
      <c r="I35" s="275">
        <f>IFERROR(VLOOKUP(D35,'미니게임_DATA(순)'!$A$5:$DE$38,99,0),0)</f>
        <v>0</v>
      </c>
      <c r="J35" s="275"/>
      <c r="K35" s="527"/>
      <c r="L35" s="527"/>
      <c r="M35" s="302">
        <f>IFERROR(VLOOKUP(D35,'미니게임_DATA(순)'!$A$5:$DE$38,100,0),0)</f>
        <v>0</v>
      </c>
      <c r="N35" s="275"/>
      <c r="O35" s="527"/>
      <c r="P35" s="527"/>
      <c r="Q35" s="275">
        <f>E35+F35+I35+J35+M35+N35</f>
        <v>0</v>
      </c>
      <c r="R35" s="300">
        <f>IFERROR(VLOOKUP(D35,'미니게임_DATA(순)'!$DJ$5:$DK$41,2,0),0)</f>
        <v>0</v>
      </c>
      <c r="S35" s="530"/>
      <c r="T35" s="533"/>
      <c r="U35" s="190">
        <f>IFERROR(R35-VLOOKUP(D35,'미니게임_DATA(순)'!$A:$DM,MATCH("rct 10g avg",'미니게임_DATA(순)'!$A$3:$DM$3,0),0),0)</f>
        <v>0</v>
      </c>
      <c r="W35" s="185">
        <f t="array" ref="W35">MAX(IF('미니게임_DATA(순)'!$A$5:$A$41=Z35,'미니게임_DATA(순)'!$CT$5:$CV$41))</f>
        <v>0</v>
      </c>
      <c r="X35" s="267">
        <f>R35</f>
        <v>0</v>
      </c>
      <c r="Y35" s="267"/>
      <c r="Z35" s="187">
        <f>D35</f>
        <v>0</v>
      </c>
      <c r="AA35" s="169"/>
      <c r="AB35" s="169"/>
    </row>
    <row r="36" spans="2:28" s="172" customFormat="1">
      <c r="B36" s="169"/>
      <c r="C36" s="538"/>
      <c r="D36" s="188"/>
      <c r="E36" s="275"/>
      <c r="F36" s="275"/>
      <c r="G36" s="527"/>
      <c r="H36" s="527"/>
      <c r="I36" s="275"/>
      <c r="J36" s="275"/>
      <c r="K36" s="527"/>
      <c r="L36" s="527"/>
      <c r="M36" s="275"/>
      <c r="N36" s="275"/>
      <c r="O36" s="527"/>
      <c r="P36" s="527"/>
      <c r="Q36" s="275">
        <f t="shared" ref="Q36:Q37" si="14">E36+I36+M36</f>
        <v>0</v>
      </c>
      <c r="R36" s="300">
        <f>IFERROR(VLOOKUP(D36,'미니게임_DATA(순)'!$DJ$5:$DK$41,2,0),0)</f>
        <v>0</v>
      </c>
      <c r="S36" s="530"/>
      <c r="T36" s="533"/>
      <c r="U36" s="190">
        <f>IFERROR(R36-VLOOKUP(D36,'미니게임_DATA(순)'!$A:$DM,MATCH("rct 10g avg",'미니게임_DATA(순)'!$A$3:$DM$3,0),0),0)</f>
        <v>0</v>
      </c>
      <c r="W36" s="185">
        <f t="array" ref="W36">MAX(IF('미니게임_DATA(순)'!$A$5:$A$41=Z36,'미니게임_DATA(순)'!$CN$5:$CP$41))</f>
        <v>0</v>
      </c>
      <c r="X36" s="267">
        <f>R36</f>
        <v>0</v>
      </c>
      <c r="Y36" s="267"/>
      <c r="Z36" s="187">
        <f>D36</f>
        <v>0</v>
      </c>
      <c r="AA36" s="169"/>
      <c r="AB36" s="169"/>
    </row>
    <row r="37" spans="2:28">
      <c r="C37" s="538"/>
      <c r="D37" s="188"/>
      <c r="E37" s="279"/>
      <c r="F37" s="279"/>
      <c r="G37" s="527"/>
      <c r="H37" s="527"/>
      <c r="I37" s="279"/>
      <c r="J37" s="279"/>
      <c r="K37" s="527"/>
      <c r="L37" s="527"/>
      <c r="M37" s="279"/>
      <c r="N37" s="279"/>
      <c r="O37" s="527"/>
      <c r="P37" s="527"/>
      <c r="Q37" s="279">
        <f t="shared" si="14"/>
        <v>0</v>
      </c>
      <c r="R37" s="276">
        <f t="shared" ref="R37" si="15">Q37/3</f>
        <v>0</v>
      </c>
      <c r="S37" s="530"/>
      <c r="T37" s="533"/>
      <c r="U37" s="190">
        <f>IFERROR(R37-VLOOKUP(D37,'미니게임_DATA(순)'!$A:$DM,MATCH("rct 10g avg",'미니게임_DATA(순)'!$A$3:$DM$3,0),0),0)</f>
        <v>0</v>
      </c>
      <c r="W37" s="185"/>
      <c r="Z37" s="187"/>
    </row>
    <row r="38" spans="2:28" ht="16.5">
      <c r="C38" s="539"/>
      <c r="D38" s="344"/>
      <c r="E38" s="535">
        <f>SUMIF(E34:F37, "&gt;0")</f>
        <v>0</v>
      </c>
      <c r="F38" s="498"/>
      <c r="G38" s="528"/>
      <c r="H38" s="528"/>
      <c r="I38" s="535">
        <f>SUMIF(I34:J37, "&gt;0")</f>
        <v>0</v>
      </c>
      <c r="J38" s="498"/>
      <c r="K38" s="528"/>
      <c r="L38" s="528"/>
      <c r="M38" s="535">
        <f>SUMIF(M34:N37, "&gt;0")</f>
        <v>0</v>
      </c>
      <c r="N38" s="498"/>
      <c r="O38" s="528"/>
      <c r="P38" s="528"/>
      <c r="Q38" s="272">
        <f>E38+I38+M38</f>
        <v>0</v>
      </c>
      <c r="R38" s="278"/>
      <c r="S38" s="531"/>
      <c r="T38" s="534"/>
      <c r="U38" s="277">
        <f>IFERROR(R38-VLOOKUP(D38,'미니게임_DATA(순)'!$A:$DM,MATCH("rct 10g avg",'미니게임_DATA(순)'!$A$3:$DM$3,0),0),0)</f>
        <v>0</v>
      </c>
      <c r="V38" s="185"/>
      <c r="W38" s="185"/>
      <c r="Z38" s="187">
        <f>D38</f>
        <v>0</v>
      </c>
      <c r="AA38" s="187">
        <f>SUM(E38,I38)</f>
        <v>0</v>
      </c>
    </row>
  </sheetData>
  <mergeCells count="77">
    <mergeCell ref="B2:B3"/>
    <mergeCell ref="B4:B5"/>
    <mergeCell ref="B6:B9"/>
    <mergeCell ref="D6:E6"/>
    <mergeCell ref="D7:E7"/>
    <mergeCell ref="D8:E8"/>
    <mergeCell ref="D9:E9"/>
    <mergeCell ref="U11:U13"/>
    <mergeCell ref="E12:H12"/>
    <mergeCell ref="I12:L12"/>
    <mergeCell ref="M12:P12"/>
    <mergeCell ref="C14:C18"/>
    <mergeCell ref="G14:G18"/>
    <mergeCell ref="H14:H18"/>
    <mergeCell ref="K14:K18"/>
    <mergeCell ref="L14:L18"/>
    <mergeCell ref="O14:O18"/>
    <mergeCell ref="C11:C13"/>
    <mergeCell ref="D11:D13"/>
    <mergeCell ref="E11:P11"/>
    <mergeCell ref="Q11:Q13"/>
    <mergeCell ref="R11:R13"/>
    <mergeCell ref="S11:T12"/>
    <mergeCell ref="P14:P18"/>
    <mergeCell ref="S14:S18"/>
    <mergeCell ref="T14:T18"/>
    <mergeCell ref="E18:F18"/>
    <mergeCell ref="I18:J18"/>
    <mergeCell ref="M18:N18"/>
    <mergeCell ref="C19:C23"/>
    <mergeCell ref="G19:G23"/>
    <mergeCell ref="H19:H23"/>
    <mergeCell ref="K19:K23"/>
    <mergeCell ref="L19:L23"/>
    <mergeCell ref="P19:P23"/>
    <mergeCell ref="S19:S23"/>
    <mergeCell ref="T19:T23"/>
    <mergeCell ref="E23:F23"/>
    <mergeCell ref="I23:J23"/>
    <mergeCell ref="M23:N23"/>
    <mergeCell ref="O19:O23"/>
    <mergeCell ref="C24:C28"/>
    <mergeCell ref="G24:G28"/>
    <mergeCell ref="H24:H28"/>
    <mergeCell ref="K24:K28"/>
    <mergeCell ref="L24:L28"/>
    <mergeCell ref="P24:P28"/>
    <mergeCell ref="S24:S28"/>
    <mergeCell ref="T24:T28"/>
    <mergeCell ref="E28:F28"/>
    <mergeCell ref="I28:J28"/>
    <mergeCell ref="M28:N28"/>
    <mergeCell ref="O24:O28"/>
    <mergeCell ref="C29:C33"/>
    <mergeCell ref="G29:G33"/>
    <mergeCell ref="H29:H33"/>
    <mergeCell ref="K29:K33"/>
    <mergeCell ref="L29:L33"/>
    <mergeCell ref="P29:P33"/>
    <mergeCell ref="S29:S33"/>
    <mergeCell ref="T29:T33"/>
    <mergeCell ref="E33:F33"/>
    <mergeCell ref="I33:J33"/>
    <mergeCell ref="M33:N33"/>
    <mergeCell ref="O29:O33"/>
    <mergeCell ref="C34:C38"/>
    <mergeCell ref="G34:G38"/>
    <mergeCell ref="H34:H38"/>
    <mergeCell ref="K34:K38"/>
    <mergeCell ref="L34:L38"/>
    <mergeCell ref="P34:P38"/>
    <mergeCell ref="S34:S38"/>
    <mergeCell ref="T34:T38"/>
    <mergeCell ref="E38:F38"/>
    <mergeCell ref="I38:J38"/>
    <mergeCell ref="M38:N38"/>
    <mergeCell ref="O34:O38"/>
  </mergeCells>
  <phoneticPr fontId="2" type="noConversion"/>
  <conditionalFormatting sqref="G39:H1048576 O39:P1048576 K39:L1048576 G1:H1 K1:L1 O1:P1">
    <cfRule type="cellIs" dxfId="153" priority="18" operator="equal">
      <formula>1</formula>
    </cfRule>
  </conditionalFormatting>
  <conditionalFormatting sqref="O12:P13 G2:H13 K2:L13 O2:P10">
    <cfRule type="cellIs" dxfId="152" priority="9" operator="equal">
      <formula>1</formula>
    </cfRule>
  </conditionalFormatting>
  <conditionalFormatting sqref="P14:P38">
    <cfRule type="cellIs" dxfId="151" priority="7" operator="equal">
      <formula>1</formula>
    </cfRule>
  </conditionalFormatting>
  <conditionalFormatting sqref="G14:H14 G19:H19 H15:H18 G29:H29 H25:H28 G24:H24 H20:H23 H30:H33">
    <cfRule type="cellIs" dxfId="150" priority="8" operator="equal">
      <formula>1</formula>
    </cfRule>
  </conditionalFormatting>
  <conditionalFormatting sqref="K14:L14 K19 K29 K24 L15:L38">
    <cfRule type="cellIs" dxfId="149" priority="6" operator="equal">
      <formula>1</formula>
    </cfRule>
  </conditionalFormatting>
  <conditionalFormatting sqref="O14 O19 O29 O24">
    <cfRule type="cellIs" dxfId="148" priority="5" operator="equal">
      <formula>1</formula>
    </cfRule>
  </conditionalFormatting>
  <conditionalFormatting sqref="G34">
    <cfRule type="cellIs" dxfId="147" priority="4" operator="equal">
      <formula>1</formula>
    </cfRule>
  </conditionalFormatting>
  <conditionalFormatting sqref="H34:H38">
    <cfRule type="cellIs" dxfId="146" priority="3" operator="equal">
      <formula>1</formula>
    </cfRule>
  </conditionalFormatting>
  <conditionalFormatting sqref="K34">
    <cfRule type="cellIs" dxfId="145" priority="2" operator="equal">
      <formula>1</formula>
    </cfRule>
  </conditionalFormatting>
  <conditionalFormatting sqref="O34">
    <cfRule type="cellIs" dxfId="144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4"/>
  <sheetViews>
    <sheetView showGridLines="0" zoomScale="85" zoomScaleNormal="85" workbookViewId="0">
      <selection activeCell="AN31" sqref="AN31"/>
    </sheetView>
  </sheetViews>
  <sheetFormatPr defaultColWidth="9" defaultRowHeight="13.5"/>
  <cols>
    <col min="1" max="3" width="9" style="169"/>
    <col min="4" max="4" width="11.875" style="169" customWidth="1"/>
    <col min="5" max="5" width="9.75" style="169" customWidth="1"/>
    <col min="6" max="8" width="5.375" style="169" customWidth="1"/>
    <col min="9" max="9" width="9" style="169"/>
    <col min="10" max="12" width="5.375" style="169" customWidth="1"/>
    <col min="13" max="13" width="9" style="169"/>
    <col min="14" max="16" width="5.375" style="169" customWidth="1"/>
    <col min="17" max="17" width="7.375" style="170" customWidth="1"/>
    <col min="18" max="18" width="7.375" style="171" customWidth="1"/>
    <col min="19" max="20" width="7.375" style="169" customWidth="1"/>
    <col min="21" max="21" width="9" style="169"/>
    <col min="22" max="23" width="9" style="172" hidden="1" customWidth="1"/>
    <col min="24" max="25" width="9" style="267" hidden="1" customWidth="1"/>
    <col min="26" max="28" width="9" style="169" hidden="1" customWidth="1"/>
    <col min="29" max="16384" width="9" style="169"/>
  </cols>
  <sheetData>
    <row r="2" spans="2:28">
      <c r="B2" s="550" t="s">
        <v>154</v>
      </c>
      <c r="C2" s="166" t="s">
        <v>156</v>
      </c>
      <c r="D2" s="167" t="str">
        <f>VLOOKUP(E2,W14:Z43,3,0)</f>
        <v>남</v>
      </c>
      <c r="E2" s="198">
        <f t="array" ref="E2">MAX(IF('미니게임_DATA(순)'!$C$5:$C$41="남",'미니게임_DATA(순)'!$CT$5:$CY$41))</f>
        <v>236</v>
      </c>
      <c r="F2" s="268"/>
    </row>
    <row r="3" spans="2:28">
      <c r="B3" s="551"/>
      <c r="C3" s="166" t="s">
        <v>157</v>
      </c>
      <c r="D3" s="167" t="str">
        <f>VLOOKUP(E3,W15:Z44,3,0)</f>
        <v>여</v>
      </c>
      <c r="E3" s="198">
        <f t="array" ref="E3">MAX(IF('미니게임_DATA(순)'!$C$5:$C$41="여",'미니게임_DATA(순)'!$CT$5:$CY$41))</f>
        <v>159</v>
      </c>
      <c r="F3" s="268"/>
    </row>
    <row r="4" spans="2:28">
      <c r="B4" s="550" t="s">
        <v>158</v>
      </c>
      <c r="C4" s="166" t="s">
        <v>156</v>
      </c>
      <c r="D4" s="167" t="e">
        <f>VLOOKUP(E4,X14:Z44,3,0)</f>
        <v>#N/A</v>
      </c>
      <c r="E4" s="168" t="e">
        <f t="array" ref="E4">MAX(IF(Y14:Y38="남",X14:X38))</f>
        <v>#N/A</v>
      </c>
      <c r="F4" s="268"/>
    </row>
    <row r="5" spans="2:28">
      <c r="B5" s="551"/>
      <c r="C5" s="166" t="s">
        <v>157</v>
      </c>
      <c r="D5" s="167" t="e">
        <f>VLOOKUP(E5,X14:Z45,3,0)</f>
        <v>#N/A</v>
      </c>
      <c r="E5" s="168" t="e">
        <f t="array" ref="E5">MAX(IF(Y14:Y38="여",X14:X38))</f>
        <v>#N/A</v>
      </c>
      <c r="F5" s="268"/>
    </row>
    <row r="6" spans="2:28" ht="16.5">
      <c r="B6" s="550" t="s">
        <v>224</v>
      </c>
      <c r="C6" s="235" t="s">
        <v>154</v>
      </c>
      <c r="D6" s="554" t="s">
        <v>307</v>
      </c>
      <c r="E6" s="472"/>
      <c r="F6" s="269"/>
    </row>
    <row r="7" spans="2:28" ht="16.5">
      <c r="B7" s="552"/>
      <c r="C7" s="235" t="s">
        <v>226</v>
      </c>
      <c r="D7" s="554" t="s">
        <v>308</v>
      </c>
      <c r="E7" s="472"/>
      <c r="F7" s="269"/>
    </row>
    <row r="8" spans="2:28" ht="16.5">
      <c r="B8" s="552"/>
      <c r="C8" s="235" t="s">
        <v>88</v>
      </c>
      <c r="D8" s="554"/>
      <c r="E8" s="498"/>
      <c r="F8" s="270"/>
    </row>
    <row r="9" spans="2:28" ht="43.5" customHeight="1">
      <c r="B9" s="553"/>
      <c r="C9" s="305" t="s">
        <v>227</v>
      </c>
      <c r="D9" s="555" t="s">
        <v>309</v>
      </c>
      <c r="E9" s="556"/>
      <c r="F9" s="269"/>
    </row>
    <row r="11" spans="2:28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545"/>
      <c r="M11" s="545"/>
      <c r="N11" s="546"/>
      <c r="O11" s="546"/>
      <c r="P11" s="496"/>
      <c r="Q11" s="547" t="s">
        <v>142</v>
      </c>
      <c r="R11" s="548" t="s">
        <v>184</v>
      </c>
      <c r="S11" s="542" t="s">
        <v>169</v>
      </c>
      <c r="T11" s="542"/>
      <c r="U11" s="542" t="s">
        <v>143</v>
      </c>
    </row>
    <row r="12" spans="2:28">
      <c r="C12" s="543"/>
      <c r="D12" s="543"/>
      <c r="E12" s="543">
        <v>1</v>
      </c>
      <c r="F12" s="543"/>
      <c r="G12" s="543"/>
      <c r="H12" s="543"/>
      <c r="I12" s="543">
        <v>2</v>
      </c>
      <c r="J12" s="543"/>
      <c r="K12" s="543"/>
      <c r="L12" s="543"/>
      <c r="M12" s="543">
        <v>3</v>
      </c>
      <c r="N12" s="543"/>
      <c r="O12" s="543"/>
      <c r="P12" s="543"/>
      <c r="Q12" s="547"/>
      <c r="R12" s="549"/>
      <c r="S12" s="542"/>
      <c r="T12" s="542"/>
      <c r="U12" s="542"/>
      <c r="AB12" s="172"/>
    </row>
    <row r="13" spans="2:28" ht="27">
      <c r="C13" s="543"/>
      <c r="D13" s="543"/>
      <c r="E13" s="346" t="s">
        <v>150</v>
      </c>
      <c r="F13" s="345" t="s">
        <v>302</v>
      </c>
      <c r="G13" s="345" t="s">
        <v>152</v>
      </c>
      <c r="H13" s="345" t="s">
        <v>153</v>
      </c>
      <c r="I13" s="346" t="s">
        <v>150</v>
      </c>
      <c r="J13" s="345" t="s">
        <v>302</v>
      </c>
      <c r="K13" s="345" t="s">
        <v>152</v>
      </c>
      <c r="L13" s="345" t="s">
        <v>153</v>
      </c>
      <c r="M13" s="346" t="s">
        <v>150</v>
      </c>
      <c r="N13" s="345" t="s">
        <v>302</v>
      </c>
      <c r="O13" s="345" t="s">
        <v>152</v>
      </c>
      <c r="P13" s="345" t="s">
        <v>153</v>
      </c>
      <c r="Q13" s="547"/>
      <c r="R13" s="549"/>
      <c r="S13" s="345" t="s">
        <v>144</v>
      </c>
      <c r="T13" s="346" t="s">
        <v>168</v>
      </c>
      <c r="U13" s="543"/>
      <c r="W13" s="172" t="s">
        <v>170</v>
      </c>
      <c r="X13" s="267" t="s">
        <v>171</v>
      </c>
    </row>
    <row r="14" spans="2:28">
      <c r="C14" s="537" t="s">
        <v>145</v>
      </c>
      <c r="D14" s="180" t="s">
        <v>241</v>
      </c>
      <c r="E14" s="299">
        <f>IFERROR(VLOOKUP(D14,'미니게임_DATA(순)'!$A$4:$DE$45,101,0),0)</f>
        <v>131</v>
      </c>
      <c r="F14" s="273"/>
      <c r="G14" s="526">
        <f>RANK(E20,($E$20,$E$27,$E$34,$E$39,E$44))</f>
        <v>3</v>
      </c>
      <c r="H14" s="526">
        <f>G14</f>
        <v>3</v>
      </c>
      <c r="I14" s="299">
        <f>IFERROR(VLOOKUP(D14,'미니게임_DATA(순)'!$A$4:$DE$45,102,0),0)</f>
        <v>166</v>
      </c>
      <c r="J14" s="273"/>
      <c r="K14" s="526">
        <f>RANK(I20,($I$20,$I$27,$I$34,$I$39,I$44))</f>
        <v>1</v>
      </c>
      <c r="L14" s="526">
        <f>RANK(AA20,($AA$20,$AA$27,$AA$34,$AA$39,$AA$44))</f>
        <v>2</v>
      </c>
      <c r="M14" s="299">
        <f>IFERROR(VLOOKUP(D14,'미니게임_DATA(순)'!$A$4:$DE$45,103,0),0)</f>
        <v>156</v>
      </c>
      <c r="N14" s="273"/>
      <c r="O14" s="526">
        <f>RANK(M20,($M$20,$M$27,$M$34,$M$39,$M$44))</f>
        <v>1</v>
      </c>
      <c r="P14" s="526">
        <f>S14</f>
        <v>1</v>
      </c>
      <c r="Q14" s="273">
        <f t="shared" ref="Q14:Q34" si="0">E14+I14+M14</f>
        <v>453</v>
      </c>
      <c r="R14" s="274">
        <f t="shared" ref="R14:R19" si="1">AVERAGE(E14,I14,M14)</f>
        <v>151</v>
      </c>
      <c r="S14" s="529">
        <f>RANK(Q20,($Q$20,$Q$27,$Q$34,$Q$39,$Q$44))</f>
        <v>1</v>
      </c>
      <c r="T14" s="541">
        <f>MAX($Q$20,$Q$27,Q$34,Q$39,Q$44)-Q20</f>
        <v>0</v>
      </c>
      <c r="U14" s="184">
        <f>IFERROR(R14-VLOOKUP(D14,'미니게임_DATA(순)'!$A:$DM,MATCH("rct 10g avg",'미니게임_DATA(순)'!$A$3:$DM$3,0),0),0)</f>
        <v>0</v>
      </c>
      <c r="W14" s="185">
        <f>MAX(E14,I14,M14)</f>
        <v>166</v>
      </c>
      <c r="X14" s="267">
        <f>R14</f>
        <v>151</v>
      </c>
      <c r="Y14" s="267" t="str">
        <f>VLOOKUP(Z14,'미니게임_DATA(순)'!$A$4:$C$45,3,0)</f>
        <v>남</v>
      </c>
      <c r="Z14" s="187" t="str">
        <f>D14</f>
        <v>이유재</v>
      </c>
    </row>
    <row r="15" spans="2:28">
      <c r="C15" s="538"/>
      <c r="D15" s="188" t="s">
        <v>15</v>
      </c>
      <c r="E15" s="275">
        <f>IFERROR(VLOOKUP(D15,'미니게임_DATA(순)'!$A$5:$DE$38,101,0),0)</f>
        <v>136</v>
      </c>
      <c r="F15" s="275"/>
      <c r="G15" s="527"/>
      <c r="H15" s="527"/>
      <c r="I15" s="275">
        <f>IFERROR(VLOOKUP(D15,'미니게임_DATA(순)'!$A$4:$DE$45,102,0),0)</f>
        <v>171</v>
      </c>
      <c r="J15" s="275"/>
      <c r="K15" s="527"/>
      <c r="L15" s="527"/>
      <c r="M15" s="275">
        <f>IFERROR(VLOOKUP(D15,'미니게임_DATA(순)'!$A$4:$DE$45,103,0),0)</f>
        <v>178</v>
      </c>
      <c r="N15" s="275"/>
      <c r="O15" s="527"/>
      <c r="P15" s="527"/>
      <c r="Q15" s="275">
        <f t="shared" si="0"/>
        <v>485</v>
      </c>
      <c r="R15" s="276">
        <f t="shared" si="1"/>
        <v>161.66666666666666</v>
      </c>
      <c r="S15" s="530"/>
      <c r="T15" s="527"/>
      <c r="U15" s="190">
        <f>IFERROR(R15-VLOOKUP(D15,'미니게임_DATA(순)'!$A:$DM,MATCH("rct 10g avg",'미니게임_DATA(순)'!$A$3:$DM$3,0),0),0)</f>
        <v>0</v>
      </c>
      <c r="W15" s="185">
        <f t="shared" ref="W15:W33" si="2">MAX(E15,I15,M15)</f>
        <v>178</v>
      </c>
      <c r="X15" s="267">
        <f t="shared" ref="X15:X19" si="3">R15</f>
        <v>161.66666666666666</v>
      </c>
      <c r="Y15" s="267" t="str">
        <f>VLOOKUP(Z15,'미니게임_DATA(순)'!$A$4:$C$45,3,0)</f>
        <v>남</v>
      </c>
      <c r="Z15" s="187" t="str">
        <f>D15</f>
        <v>김창현</v>
      </c>
    </row>
    <row r="16" spans="2:28">
      <c r="C16" s="538"/>
      <c r="D16" s="188" t="s">
        <v>11</v>
      </c>
      <c r="E16" s="275">
        <f>IFERROR(VLOOKUP(D16,'미니게임_DATA(순)'!$A$4:$DE$45,101,0),0)</f>
        <v>138</v>
      </c>
      <c r="F16" s="275"/>
      <c r="G16" s="527"/>
      <c r="H16" s="527"/>
      <c r="I16" s="275">
        <f>IFERROR(VLOOKUP(D16,'미니게임_DATA(순)'!$A$4:$DE$45,102,0),0)</f>
        <v>183</v>
      </c>
      <c r="J16" s="275"/>
      <c r="K16" s="527"/>
      <c r="L16" s="527"/>
      <c r="M16" s="275">
        <f>IFERROR(VLOOKUP(D16,'미니게임_DATA(순)'!$A$4:$DE$45,103,0),0)</f>
        <v>136</v>
      </c>
      <c r="N16" s="275"/>
      <c r="O16" s="527"/>
      <c r="P16" s="527"/>
      <c r="Q16" s="275">
        <f t="shared" si="0"/>
        <v>457</v>
      </c>
      <c r="R16" s="276">
        <f t="shared" si="1"/>
        <v>152.33333333333334</v>
      </c>
      <c r="S16" s="530"/>
      <c r="T16" s="527"/>
      <c r="U16" s="190">
        <f>IFERROR(R16-VLOOKUP(D16,'미니게임_DATA(순)'!$A:$DM,MATCH("rct 10g avg",'미니게임_DATA(순)'!$A$3:$DM$3,0),0),0)</f>
        <v>0</v>
      </c>
      <c r="W16" s="185">
        <f t="shared" si="2"/>
        <v>183</v>
      </c>
      <c r="X16" s="267">
        <f t="shared" si="3"/>
        <v>152.33333333333334</v>
      </c>
      <c r="Y16" s="267" t="str">
        <f>VLOOKUP(Z16,'미니게임_DATA(순)'!$A$4:$C$45,3,0)</f>
        <v>남</v>
      </c>
      <c r="Z16" s="187" t="str">
        <f>D16</f>
        <v>박용승</v>
      </c>
    </row>
    <row r="17" spans="3:27">
      <c r="C17" s="538"/>
      <c r="D17" s="188" t="s">
        <v>10</v>
      </c>
      <c r="E17" s="275">
        <f>IFERROR(VLOOKUP(D17,'미니게임_DATA(순)'!$A$5:$DE$38,101,0),0)</f>
        <v>154</v>
      </c>
      <c r="F17" s="279"/>
      <c r="G17" s="527"/>
      <c r="H17" s="527"/>
      <c r="I17" s="275">
        <f>IFERROR(VLOOKUP(D17,'미니게임_DATA(순)'!$A$4:$DE$45,102,0),0)</f>
        <v>180</v>
      </c>
      <c r="J17" s="279"/>
      <c r="K17" s="527"/>
      <c r="L17" s="527"/>
      <c r="M17" s="275">
        <f>IFERROR(VLOOKUP(D17,'미니게임_DATA(순)'!$A$4:$DE$45,103,0),0)</f>
        <v>214</v>
      </c>
      <c r="N17" s="279"/>
      <c r="O17" s="527"/>
      <c r="P17" s="527"/>
      <c r="Q17" s="275">
        <f t="shared" si="0"/>
        <v>548</v>
      </c>
      <c r="R17" s="276">
        <f t="shared" si="1"/>
        <v>182.66666666666666</v>
      </c>
      <c r="S17" s="530"/>
      <c r="T17" s="527"/>
      <c r="U17" s="190">
        <f>IFERROR(R17-VLOOKUP(D17,'미니게임_DATA(순)'!$A:$DM,MATCH("rct 10g avg",'미니게임_DATA(순)'!$A$3:$DM$3,0),0),0)</f>
        <v>0</v>
      </c>
      <c r="W17" s="185">
        <f t="shared" si="2"/>
        <v>214</v>
      </c>
      <c r="X17" s="267">
        <f t="shared" si="3"/>
        <v>182.66666666666666</v>
      </c>
      <c r="Y17" s="267" t="str">
        <f>VLOOKUP(Z17,'미니게임_DATA(순)'!$A$4:$C$45,3,0)</f>
        <v>남</v>
      </c>
      <c r="Z17" s="187" t="str">
        <f t="shared" ref="Z17:Z37" si="4">D17</f>
        <v>김신철</v>
      </c>
    </row>
    <row r="18" spans="3:27">
      <c r="C18" s="538"/>
      <c r="D18" s="188" t="s">
        <v>32</v>
      </c>
      <c r="E18" s="275">
        <f>IFERROR(VLOOKUP(D18,'미니게임_DATA(순)'!$A$5:$DE$38,101,0),0)</f>
        <v>0</v>
      </c>
      <c r="F18" s="279"/>
      <c r="G18" s="527"/>
      <c r="H18" s="527"/>
      <c r="I18" s="275">
        <f>IFERROR(VLOOKUP(D18,'미니게임_DATA(순)'!$A$4:$DE$45,102,0),0)</f>
        <v>134</v>
      </c>
      <c r="J18" s="279"/>
      <c r="K18" s="527"/>
      <c r="L18" s="527"/>
      <c r="M18" s="275">
        <f>IFERROR(VLOOKUP(D18,'미니게임_DATA(순)'!$A$4:$DE$45,103,0),0)</f>
        <v>200</v>
      </c>
      <c r="N18" s="279"/>
      <c r="O18" s="527"/>
      <c r="P18" s="527"/>
      <c r="Q18" s="275">
        <f t="shared" si="0"/>
        <v>334</v>
      </c>
      <c r="R18" s="276">
        <f t="shared" si="1"/>
        <v>111.33333333333333</v>
      </c>
      <c r="S18" s="530"/>
      <c r="T18" s="527"/>
      <c r="U18" s="190">
        <f>IFERROR(R18-VLOOKUP(D18,'미니게임_DATA(순)'!$A:$DM,MATCH("rct 10g avg",'미니게임_DATA(순)'!$A$3:$DM$3,0),0),0)</f>
        <v>0</v>
      </c>
      <c r="W18" s="185">
        <f t="shared" si="2"/>
        <v>200</v>
      </c>
      <c r="X18" s="267">
        <f t="shared" si="3"/>
        <v>111.33333333333333</v>
      </c>
      <c r="Y18" s="267" t="str">
        <f>VLOOKUP(Z18,'미니게임_DATA(순)'!$A$4:$C$45,3,0)</f>
        <v>남</v>
      </c>
      <c r="Z18" s="187" t="str">
        <f t="shared" si="4"/>
        <v>이정호</v>
      </c>
    </row>
    <row r="19" spans="3:27">
      <c r="C19" s="538"/>
      <c r="D19" s="191" t="s">
        <v>12</v>
      </c>
      <c r="E19" s="275">
        <f>IFERROR(VLOOKUP(D19,'미니게임_DATA(순)'!$A$5:$DE$38,101,0),0)</f>
        <v>159</v>
      </c>
      <c r="F19" s="279"/>
      <c r="G19" s="527"/>
      <c r="H19" s="527"/>
      <c r="I19" s="275">
        <f>IFERROR(VLOOKUP(D19,'미니게임_DATA(순)'!$A$4:$DE$45,102,0),0)</f>
        <v>133</v>
      </c>
      <c r="J19" s="279"/>
      <c r="K19" s="527"/>
      <c r="L19" s="527"/>
      <c r="M19" s="275">
        <f>IFERROR(VLOOKUP(D19,'미니게임_DATA(순)'!$A$4:$DE$45,103,0),0)</f>
        <v>142</v>
      </c>
      <c r="N19" s="279"/>
      <c r="O19" s="527"/>
      <c r="P19" s="527"/>
      <c r="Q19" s="279">
        <f t="shared" si="0"/>
        <v>434</v>
      </c>
      <c r="R19" s="276">
        <f t="shared" si="1"/>
        <v>144.66666666666666</v>
      </c>
      <c r="S19" s="530"/>
      <c r="T19" s="527"/>
      <c r="U19" s="190">
        <f>IFERROR(R19-VLOOKUP(D19,'미니게임_DATA(순)'!$A:$DM,MATCH("rct 10g avg",'미니게임_DATA(순)'!$A$3:$DM$3,0),0),0)</f>
        <v>0</v>
      </c>
      <c r="W19" s="185">
        <f t="shared" si="2"/>
        <v>159</v>
      </c>
      <c r="X19" s="267">
        <f t="shared" si="3"/>
        <v>144.66666666666666</v>
      </c>
      <c r="Y19" s="267" t="str">
        <f>VLOOKUP(Z19,'미니게임_DATA(순)'!$A$4:$C$45,3,0)</f>
        <v>여</v>
      </c>
      <c r="Z19" s="187" t="str">
        <f t="shared" si="4"/>
        <v>성소라</v>
      </c>
    </row>
    <row r="20" spans="3:27" ht="16.5">
      <c r="C20" s="539"/>
      <c r="D20" s="344"/>
      <c r="E20" s="535">
        <f>SUMIF(E14:E19, "&gt;0")</f>
        <v>718</v>
      </c>
      <c r="F20" s="498"/>
      <c r="G20" s="528"/>
      <c r="H20" s="528"/>
      <c r="I20" s="535">
        <f>SUMIF(I14:I19, "&gt;0")</f>
        <v>967</v>
      </c>
      <c r="J20" s="498"/>
      <c r="K20" s="528"/>
      <c r="L20" s="528"/>
      <c r="M20" s="535">
        <f>SUMIF(M14:M19, "&gt;0")</f>
        <v>1026</v>
      </c>
      <c r="N20" s="498"/>
      <c r="O20" s="528"/>
      <c r="P20" s="528"/>
      <c r="Q20" s="272">
        <f t="shared" si="0"/>
        <v>2711</v>
      </c>
      <c r="R20" s="196"/>
      <c r="S20" s="531"/>
      <c r="T20" s="528"/>
      <c r="U20" s="277">
        <f>IFERROR(R20-VLOOKUP(D20,'미니게임_DATA(순)'!$A:$DM,MATCH("rct 10g avg",'미니게임_DATA(순)'!$A$3:$DM$3,0),0),0)</f>
        <v>0</v>
      </c>
      <c r="V20" s="185"/>
      <c r="W20" s="185"/>
      <c r="Z20" s="187">
        <f t="shared" si="4"/>
        <v>0</v>
      </c>
      <c r="AA20" s="187">
        <f>SUM(E20,I20)</f>
        <v>1685</v>
      </c>
    </row>
    <row r="21" spans="3:27">
      <c r="C21" s="537" t="s">
        <v>146</v>
      </c>
      <c r="D21" s="180" t="s">
        <v>8</v>
      </c>
      <c r="E21" s="275">
        <f>IFERROR(VLOOKUP(D21,'미니게임_DATA(순)'!$A$4:$DE$45,101,0),0)</f>
        <v>236</v>
      </c>
      <c r="F21" s="273"/>
      <c r="G21" s="526">
        <f>RANK(E27,($E$20,$E$27,$E$34,$E$39,E$44))</f>
        <v>1</v>
      </c>
      <c r="H21" s="526">
        <f t="shared" ref="H21" si="5">G21</f>
        <v>1</v>
      </c>
      <c r="I21" s="275">
        <f>IFERROR(VLOOKUP(D21,'미니게임_DATA(순)'!$A$4:$DE$45,102,0),0)</f>
        <v>195</v>
      </c>
      <c r="J21" s="273"/>
      <c r="K21" s="526">
        <f>RANK(I27,($I$20,$I$27,$I$34,$I$39,I$44))</f>
        <v>2</v>
      </c>
      <c r="L21" s="526">
        <f>RANK(AA27,($AA$20,$AA$27,$AA$34,$AA$39,$AA$44))</f>
        <v>1</v>
      </c>
      <c r="M21" s="275">
        <f>IFERROR(VLOOKUP(D21,'미니게임_DATA(순)'!$A$4:$DE$45,103,0),0)</f>
        <v>206</v>
      </c>
      <c r="N21" s="273"/>
      <c r="O21" s="526">
        <f>RANK(M27,($M$20,$M$27,$M$34,$M$39,$M$44))</f>
        <v>2</v>
      </c>
      <c r="P21" s="526">
        <f t="shared" ref="P21" si="6">S21</f>
        <v>2</v>
      </c>
      <c r="Q21" s="273">
        <f t="shared" si="0"/>
        <v>637</v>
      </c>
      <c r="R21" s="276">
        <f t="shared" ref="R21:R26" si="7">AVERAGE(E21,I21,M21)</f>
        <v>212.33333333333334</v>
      </c>
      <c r="S21" s="529">
        <f>RANK(Q27,($Q$20,$Q$27,$Q$34,$Q$39,$Q$44))</f>
        <v>2</v>
      </c>
      <c r="T21" s="532">
        <f>MAX($Q$20,$Q$27,Q$34,Q$39,Q$44)-Q27</f>
        <v>75</v>
      </c>
      <c r="U21" s="184">
        <f>IFERROR(R21-VLOOKUP(D21,'미니게임_DATA(순)'!$A:$DM,MATCH("rct 10g avg",'미니게임_DATA(순)'!$A$3:$DM$3,0),0),0)</f>
        <v>0</v>
      </c>
      <c r="W21" s="185">
        <f t="shared" si="2"/>
        <v>236</v>
      </c>
      <c r="X21" s="267">
        <f>R21</f>
        <v>212.33333333333334</v>
      </c>
      <c r="Y21" s="267" t="str">
        <f>VLOOKUP(Z21,'미니게임_DATA(순)'!$A$4:$C$45,3,0)</f>
        <v>남</v>
      </c>
      <c r="Z21" s="187" t="str">
        <f t="shared" si="4"/>
        <v>조문수</v>
      </c>
    </row>
    <row r="22" spans="3:27">
      <c r="C22" s="538"/>
      <c r="D22" s="188" t="s">
        <v>37</v>
      </c>
      <c r="E22" s="275">
        <f>IFERROR(VLOOKUP(D22,'미니게임_DATA(순)'!$A$5:$DE$38,101,0),0)</f>
        <v>0</v>
      </c>
      <c r="F22" s="275"/>
      <c r="G22" s="527"/>
      <c r="H22" s="527"/>
      <c r="I22" s="275">
        <f>IFERROR(VLOOKUP(D22,'미니게임_DATA(순)'!$A$4:$DE$45,102,0),0)</f>
        <v>124</v>
      </c>
      <c r="J22" s="275"/>
      <c r="K22" s="527"/>
      <c r="L22" s="527"/>
      <c r="M22" s="275">
        <f>IFERROR(VLOOKUP(D22,'미니게임_DATA(순)'!$A$4:$DE$45,103,0),0)</f>
        <v>163</v>
      </c>
      <c r="N22" s="275"/>
      <c r="O22" s="527"/>
      <c r="P22" s="527"/>
      <c r="Q22" s="275">
        <f t="shared" si="0"/>
        <v>287</v>
      </c>
      <c r="R22" s="276">
        <f t="shared" si="7"/>
        <v>95.666666666666671</v>
      </c>
      <c r="S22" s="530"/>
      <c r="T22" s="533"/>
      <c r="U22" s="190">
        <f>IFERROR(R22-VLOOKUP(D22,'미니게임_DATA(순)'!$A:$DM,MATCH("rct 10g avg",'미니게임_DATA(순)'!$A$3:$DM$3,0),0),0)</f>
        <v>0</v>
      </c>
      <c r="W22" s="185">
        <f t="shared" si="2"/>
        <v>163</v>
      </c>
      <c r="X22" s="267">
        <f>R22</f>
        <v>95.666666666666671</v>
      </c>
      <c r="Y22" s="267" t="str">
        <f>VLOOKUP(Z22,'미니게임_DATA(순)'!$A$4:$C$45,3,0)</f>
        <v>남</v>
      </c>
      <c r="Z22" s="187" t="str">
        <f t="shared" si="4"/>
        <v>최은규</v>
      </c>
    </row>
    <row r="23" spans="3:27">
      <c r="C23" s="538"/>
      <c r="D23" s="188" t="s">
        <v>24</v>
      </c>
      <c r="E23" s="275">
        <f>IFERROR(VLOOKUP(D23,'미니게임_DATA(순)'!$A$5:$DE$38,101,0),0)</f>
        <v>159</v>
      </c>
      <c r="F23" s="275"/>
      <c r="G23" s="527"/>
      <c r="H23" s="527"/>
      <c r="I23" s="275">
        <f>IFERROR(VLOOKUP(D23,'미니게임_DATA(순)'!$A$4:$DE$45,102,0),0)</f>
        <v>192</v>
      </c>
      <c r="J23" s="275"/>
      <c r="K23" s="527"/>
      <c r="L23" s="527"/>
      <c r="M23" s="275">
        <f>IFERROR(VLOOKUP(D23,'미니게임_DATA(순)'!$A$4:$DE$45,103,0),0)</f>
        <v>112</v>
      </c>
      <c r="N23" s="275"/>
      <c r="O23" s="527"/>
      <c r="P23" s="527"/>
      <c r="Q23" s="275">
        <f t="shared" si="0"/>
        <v>463</v>
      </c>
      <c r="R23" s="276">
        <f t="shared" si="7"/>
        <v>154.33333333333334</v>
      </c>
      <c r="S23" s="530"/>
      <c r="T23" s="533"/>
      <c r="U23" s="190">
        <f>IFERROR(R23-VLOOKUP(D23,'미니게임_DATA(순)'!$A:$DM,MATCH("rct 10g avg",'미니게임_DATA(순)'!$A$3:$DM$3,0),0),0)</f>
        <v>0</v>
      </c>
      <c r="W23" s="185">
        <f t="shared" si="2"/>
        <v>192</v>
      </c>
      <c r="X23" s="267">
        <f>R23</f>
        <v>154.33333333333334</v>
      </c>
      <c r="Y23" s="267" t="str">
        <f>VLOOKUP(Z23,'미니게임_DATA(순)'!$A$4:$C$45,3,0)</f>
        <v>남</v>
      </c>
      <c r="Z23" s="187" t="str">
        <f t="shared" si="4"/>
        <v>김기선</v>
      </c>
    </row>
    <row r="24" spans="3:27">
      <c r="C24" s="538"/>
      <c r="D24" s="188" t="s">
        <v>22</v>
      </c>
      <c r="E24" s="275">
        <f>IFERROR(VLOOKUP(D24,'미니게임_DATA(순)'!$A$5:$DE$38,101,0),0)</f>
        <v>116</v>
      </c>
      <c r="F24" s="279"/>
      <c r="G24" s="527"/>
      <c r="H24" s="527"/>
      <c r="I24" s="275">
        <f>IFERROR(VLOOKUP(D24,'미니게임_DATA(순)'!$A$4:$DE$45,102,0),0)</f>
        <v>121</v>
      </c>
      <c r="J24" s="279"/>
      <c r="K24" s="527"/>
      <c r="L24" s="527"/>
      <c r="M24" s="275">
        <f>IFERROR(VLOOKUP(D24,'미니게임_DATA(순)'!$A$4:$DE$45,103,0),0)</f>
        <v>168</v>
      </c>
      <c r="N24" s="279"/>
      <c r="O24" s="527"/>
      <c r="P24" s="527"/>
      <c r="Q24" s="275">
        <f t="shared" si="0"/>
        <v>405</v>
      </c>
      <c r="R24" s="276">
        <f t="shared" si="7"/>
        <v>135</v>
      </c>
      <c r="S24" s="530"/>
      <c r="T24" s="533"/>
      <c r="U24" s="190">
        <f>IFERROR(R24-VLOOKUP(D24,'미니게임_DATA(순)'!$A:$DM,MATCH("rct 10g avg",'미니게임_DATA(순)'!$A$3:$DM$3,0),0),0)</f>
        <v>0</v>
      </c>
      <c r="W24" s="185">
        <f t="shared" si="2"/>
        <v>168</v>
      </c>
      <c r="X24" s="267">
        <f t="shared" ref="X24:X26" si="8">R24</f>
        <v>135</v>
      </c>
      <c r="Y24" s="267" t="str">
        <f>VLOOKUP(Z24,'미니게임_DATA(순)'!$A$4:$C$45,3,0)</f>
        <v>남</v>
      </c>
      <c r="Z24" s="187" t="str">
        <f t="shared" si="4"/>
        <v>이강은</v>
      </c>
    </row>
    <row r="25" spans="3:27">
      <c r="C25" s="538"/>
      <c r="D25" s="188" t="s">
        <v>281</v>
      </c>
      <c r="E25" s="275">
        <f>IFERROR(VLOOKUP(D25,'미니게임_DATA(순)'!$A$5:$DE$38,101,0),0)</f>
        <v>120</v>
      </c>
      <c r="F25" s="279"/>
      <c r="G25" s="527"/>
      <c r="H25" s="527"/>
      <c r="I25" s="275">
        <f>IFERROR(VLOOKUP(D25,'미니게임_DATA(순)'!$A$4:$DE$45,102,0),0)</f>
        <v>157</v>
      </c>
      <c r="J25" s="279"/>
      <c r="K25" s="527"/>
      <c r="L25" s="527"/>
      <c r="M25" s="275">
        <f>IFERROR(VLOOKUP(D25,'미니게임_DATA(순)'!$A$4:$DE$45,103,0),0)</f>
        <v>109</v>
      </c>
      <c r="N25" s="279"/>
      <c r="O25" s="527"/>
      <c r="P25" s="527"/>
      <c r="Q25" s="275">
        <f t="shared" si="0"/>
        <v>386</v>
      </c>
      <c r="R25" s="276">
        <f t="shared" si="7"/>
        <v>128.66666666666666</v>
      </c>
      <c r="S25" s="530"/>
      <c r="T25" s="533"/>
      <c r="U25" s="190">
        <f>IFERROR(R25-VLOOKUP(D25,'미니게임_DATA(순)'!$A:$DM,MATCH("rct 10g avg",'미니게임_DATA(순)'!$A$3:$DM$3,0),0),0)</f>
        <v>0</v>
      </c>
      <c r="W25" s="185">
        <f t="shared" si="2"/>
        <v>157</v>
      </c>
      <c r="X25" s="267">
        <f t="shared" si="8"/>
        <v>128.66666666666666</v>
      </c>
      <c r="Y25" s="267" t="str">
        <f>VLOOKUP(Z25,'미니게임_DATA(순)'!$A$4:$C$45,3,0)</f>
        <v>여</v>
      </c>
      <c r="Z25" s="187" t="str">
        <f t="shared" si="4"/>
        <v>오수인</v>
      </c>
    </row>
    <row r="26" spans="3:27">
      <c r="C26" s="538"/>
      <c r="D26" s="188" t="s">
        <v>282</v>
      </c>
      <c r="E26" s="306">
        <f>IFERROR(VLOOKUP(D26,'미니게임_DATA(순)'!$A$5:$DE$38,101,0),0)</f>
        <v>147</v>
      </c>
      <c r="F26" s="279"/>
      <c r="G26" s="527"/>
      <c r="H26" s="527"/>
      <c r="I26" s="275">
        <f>IFERROR(VLOOKUP(D26,'미니게임_DATA(순)'!$A$4:$DE$45,102,0),0)</f>
        <v>157</v>
      </c>
      <c r="J26" s="279"/>
      <c r="K26" s="527"/>
      <c r="L26" s="527"/>
      <c r="M26" s="275">
        <f>IFERROR(VLOOKUP(D26,'미니게임_DATA(순)'!$A$4:$DE$45,103,0),0)</f>
        <v>154</v>
      </c>
      <c r="N26" s="279"/>
      <c r="O26" s="527"/>
      <c r="P26" s="527"/>
      <c r="Q26" s="279">
        <f t="shared" si="0"/>
        <v>458</v>
      </c>
      <c r="R26" s="276">
        <f t="shared" si="7"/>
        <v>152.66666666666666</v>
      </c>
      <c r="S26" s="530"/>
      <c r="T26" s="533"/>
      <c r="U26" s="190">
        <f>IFERROR(R26-VLOOKUP(D26,'미니게임_DATA(순)'!$A:$DM,MATCH("rct 10g avg",'미니게임_DATA(순)'!$A$3:$DM$3,0),0),0)</f>
        <v>0</v>
      </c>
      <c r="W26" s="185">
        <f t="shared" si="2"/>
        <v>157</v>
      </c>
      <c r="X26" s="267">
        <f t="shared" si="8"/>
        <v>152.66666666666666</v>
      </c>
      <c r="Y26" s="267" t="str">
        <f>VLOOKUP(Z26,'미니게임_DATA(순)'!$A$4:$C$45,3,0)</f>
        <v>여</v>
      </c>
      <c r="Z26" s="187" t="str">
        <f t="shared" si="4"/>
        <v>손하은</v>
      </c>
    </row>
    <row r="27" spans="3:27" ht="16.5">
      <c r="C27" s="539"/>
      <c r="D27" s="344"/>
      <c r="E27" s="535">
        <f>SUMIF(E21:F26, "&gt;0")</f>
        <v>778</v>
      </c>
      <c r="F27" s="498"/>
      <c r="G27" s="528"/>
      <c r="H27" s="528"/>
      <c r="I27" s="535">
        <f>SUMIF(I21:J26, "&gt;0")</f>
        <v>946</v>
      </c>
      <c r="J27" s="498"/>
      <c r="K27" s="528"/>
      <c r="L27" s="528"/>
      <c r="M27" s="535">
        <f>SUMIF(M21:N26, "&gt;0")</f>
        <v>912</v>
      </c>
      <c r="N27" s="498"/>
      <c r="O27" s="528"/>
      <c r="P27" s="528"/>
      <c r="Q27" s="272">
        <f t="shared" si="0"/>
        <v>2636</v>
      </c>
      <c r="R27" s="196"/>
      <c r="S27" s="531"/>
      <c r="T27" s="534"/>
      <c r="U27" s="277">
        <f>IFERROR(R27-VLOOKUP(D27,'미니게임_DATA(순)'!$A:$DM,MATCH("rct 10g avg",'미니게임_DATA(순)'!$A$3:$DM$3,0),0),0)</f>
        <v>0</v>
      </c>
      <c r="V27" s="185"/>
      <c r="W27" s="185"/>
      <c r="Z27" s="187">
        <f t="shared" si="4"/>
        <v>0</v>
      </c>
      <c r="AA27" s="187">
        <f>SUM(E27,I27)</f>
        <v>1724</v>
      </c>
    </row>
    <row r="28" spans="3:27">
      <c r="C28" s="537" t="s">
        <v>147</v>
      </c>
      <c r="D28" s="180" t="s">
        <v>13</v>
      </c>
      <c r="E28" s="299">
        <f>IFERROR(VLOOKUP(D28,'미니게임_DATA(순)'!$A$5:$DE$38,101,0),0)</f>
        <v>161</v>
      </c>
      <c r="F28" s="273"/>
      <c r="G28" s="526">
        <f>RANK(E34,($E$20,$E$27,$E$34,$E$39,E$44))</f>
        <v>2</v>
      </c>
      <c r="H28" s="526">
        <f t="shared" ref="H28" si="9">G28</f>
        <v>2</v>
      </c>
      <c r="I28" s="275">
        <f>IFERROR(VLOOKUP(D28,'미니게임_DATA(순)'!$A$4:$DE$45,102,0),0)</f>
        <v>183</v>
      </c>
      <c r="J28" s="273"/>
      <c r="K28" s="526">
        <f>RANK(I34,($I$20,$I$27,$I$34,$I$39,I$44))</f>
        <v>3</v>
      </c>
      <c r="L28" s="526">
        <f>RANK(AA34,($AA$20,$AA$27,$AA$34,$AA$39,$AA$44))</f>
        <v>3</v>
      </c>
      <c r="M28" s="275">
        <f>IFERROR(VLOOKUP(D28,'미니게임_DATA(순)'!$A$4:$DE$45,103,0),0)</f>
        <v>144</v>
      </c>
      <c r="N28" s="273"/>
      <c r="O28" s="526">
        <f>RANK(M34,($M$20,$M$27,$M$34,$M$39,$M$44))</f>
        <v>3</v>
      </c>
      <c r="P28" s="526">
        <f t="shared" ref="P28" si="10">S28</f>
        <v>3</v>
      </c>
      <c r="Q28" s="273">
        <f t="shared" si="0"/>
        <v>488</v>
      </c>
      <c r="R28" s="276">
        <f t="shared" ref="R28:R33" si="11">AVERAGE(E28,I28,M28)</f>
        <v>162.66666666666666</v>
      </c>
      <c r="S28" s="529">
        <f>RANK(Q34,($Q$20,$Q$27,$Q$34,$Q$39,$Q$44))</f>
        <v>3</v>
      </c>
      <c r="T28" s="532">
        <f>MAX($Q$20,$Q$27,Q$34,Q$39,Q$44)-Q34</f>
        <v>296</v>
      </c>
      <c r="U28" s="184">
        <f>IFERROR(R28-VLOOKUP(D28,'미니게임_DATA(순)'!$A:$DM,MATCH("rct 10g avg",'미니게임_DATA(순)'!$A$3:$DM$3,0),0),0)</f>
        <v>0</v>
      </c>
      <c r="W28" s="185">
        <f t="shared" si="2"/>
        <v>183</v>
      </c>
      <c r="X28" s="267">
        <f>R28</f>
        <v>162.66666666666666</v>
      </c>
      <c r="Y28" s="267" t="str">
        <f>VLOOKUP(Z28,'미니게임_DATA(순)'!$A$4:$C$45,3,0)</f>
        <v>남</v>
      </c>
      <c r="Z28" s="187" t="str">
        <f t="shared" si="4"/>
        <v>정동현</v>
      </c>
    </row>
    <row r="29" spans="3:27">
      <c r="C29" s="538"/>
      <c r="D29" s="188" t="s">
        <v>9</v>
      </c>
      <c r="E29" s="275">
        <f>IFERROR(VLOOKUP(D29,'미니게임_DATA(순)'!$A$5:$DE$38,101,0),0)</f>
        <v>136</v>
      </c>
      <c r="F29" s="275"/>
      <c r="G29" s="527"/>
      <c r="H29" s="527"/>
      <c r="I29" s="275">
        <f>IFERROR(VLOOKUP(D29,'미니게임_DATA(순)'!$A$4:$DE$45,102,0),0)</f>
        <v>201</v>
      </c>
      <c r="J29" s="275"/>
      <c r="K29" s="527"/>
      <c r="L29" s="527"/>
      <c r="M29" s="275">
        <f>IFERROR(VLOOKUP(D29,'미니게임_DATA(순)'!$A$4:$DE$45,103,0),0)</f>
        <v>221</v>
      </c>
      <c r="N29" s="275"/>
      <c r="O29" s="527"/>
      <c r="P29" s="527"/>
      <c r="Q29" s="275">
        <f t="shared" si="0"/>
        <v>558</v>
      </c>
      <c r="R29" s="276">
        <f t="shared" si="11"/>
        <v>186</v>
      </c>
      <c r="S29" s="530"/>
      <c r="T29" s="533"/>
      <c r="U29" s="190">
        <f>IFERROR(R29-VLOOKUP(D29,'미니게임_DATA(순)'!$A:$DM,MATCH("rct 10g avg",'미니게임_DATA(순)'!$A$3:$DM$3,0),0),0)</f>
        <v>0</v>
      </c>
      <c r="W29" s="185">
        <f t="shared" si="2"/>
        <v>221</v>
      </c>
      <c r="X29" s="267">
        <f>R29</f>
        <v>186</v>
      </c>
      <c r="Y29" s="267" t="str">
        <f>VLOOKUP(Z29,'미니게임_DATA(순)'!$A$4:$C$45,3,0)</f>
        <v>남</v>
      </c>
      <c r="Z29" s="187" t="str">
        <f t="shared" si="4"/>
        <v>백동민</v>
      </c>
    </row>
    <row r="30" spans="3:27">
      <c r="C30" s="538"/>
      <c r="D30" s="188" t="s">
        <v>14</v>
      </c>
      <c r="E30" s="275">
        <f>IFERROR(VLOOKUP(D30,'미니게임_DATA(순)'!$A$5:$DE$38,101,0),0)</f>
        <v>141</v>
      </c>
      <c r="F30" s="275"/>
      <c r="G30" s="527"/>
      <c r="H30" s="527"/>
      <c r="I30" s="275">
        <f>IFERROR(VLOOKUP(D30,'미니게임_DATA(순)'!$A$4:$DE$45,102,0),0)</f>
        <v>188</v>
      </c>
      <c r="J30" s="275"/>
      <c r="K30" s="527"/>
      <c r="L30" s="527"/>
      <c r="M30" s="275">
        <f>IFERROR(VLOOKUP(D30,'미니게임_DATA(순)'!$A$4:$DE$45,103,0),0)</f>
        <v>158</v>
      </c>
      <c r="N30" s="275"/>
      <c r="O30" s="527"/>
      <c r="P30" s="527"/>
      <c r="Q30" s="275">
        <f t="shared" si="0"/>
        <v>487</v>
      </c>
      <c r="R30" s="276">
        <f t="shared" si="11"/>
        <v>162.33333333333334</v>
      </c>
      <c r="S30" s="530"/>
      <c r="T30" s="533"/>
      <c r="U30" s="190">
        <f>IFERROR(R30-VLOOKUP(D30,'미니게임_DATA(순)'!$A:$DM,MATCH("rct 10g avg",'미니게임_DATA(순)'!$A$3:$DM$3,0),0),0)</f>
        <v>0</v>
      </c>
      <c r="W30" s="185">
        <f t="shared" si="2"/>
        <v>188</v>
      </c>
      <c r="X30" s="267">
        <f>R30</f>
        <v>162.33333333333334</v>
      </c>
      <c r="Y30" s="267" t="str">
        <f>VLOOKUP(Z30,'미니게임_DATA(순)'!$A$4:$C$45,3,0)</f>
        <v>남</v>
      </c>
      <c r="Z30" s="187" t="str">
        <f t="shared" si="4"/>
        <v>채승엽</v>
      </c>
    </row>
    <row r="31" spans="3:27">
      <c r="C31" s="538"/>
      <c r="D31" s="188" t="s">
        <v>16</v>
      </c>
      <c r="E31" s="275">
        <f>IFERROR(VLOOKUP(D31,'미니게임_DATA(순)'!$A$5:$DE$38,101,0),0)</f>
        <v>178</v>
      </c>
      <c r="F31" s="279"/>
      <c r="G31" s="527"/>
      <c r="H31" s="527"/>
      <c r="I31" s="275">
        <f>IFERROR(VLOOKUP(D31,'미니게임_DATA(순)'!$A$4:$DE$45,102,0),0)</f>
        <v>149</v>
      </c>
      <c r="J31" s="279"/>
      <c r="K31" s="527"/>
      <c r="L31" s="527"/>
      <c r="M31" s="275">
        <f>IFERROR(VLOOKUP(D31,'미니게임_DATA(순)'!$A$4:$DE$45,103,0),0)</f>
        <v>141</v>
      </c>
      <c r="N31" s="279"/>
      <c r="O31" s="527"/>
      <c r="P31" s="527"/>
      <c r="Q31" s="275">
        <f t="shared" si="0"/>
        <v>468</v>
      </c>
      <c r="R31" s="276">
        <f t="shared" si="11"/>
        <v>156</v>
      </c>
      <c r="S31" s="530"/>
      <c r="T31" s="533"/>
      <c r="U31" s="190">
        <f>IFERROR(R31-VLOOKUP(D31,'미니게임_DATA(순)'!$A:$DM,MATCH("rct 10g avg",'미니게임_DATA(순)'!$A$3:$DM$3,0),0),0)</f>
        <v>0</v>
      </c>
      <c r="W31" s="185">
        <f t="shared" si="2"/>
        <v>178</v>
      </c>
      <c r="X31" s="267">
        <f t="shared" ref="X31:X33" si="12">R31</f>
        <v>156</v>
      </c>
      <c r="Y31" s="267" t="str">
        <f>VLOOKUP(Z31,'미니게임_DATA(순)'!$A$4:$C$45,3,0)</f>
        <v>남</v>
      </c>
      <c r="Z31" s="187" t="str">
        <f t="shared" si="4"/>
        <v>전병기</v>
      </c>
    </row>
    <row r="32" spans="3:27">
      <c r="C32" s="538"/>
      <c r="D32" s="188" t="s">
        <v>17</v>
      </c>
      <c r="E32" s="275">
        <f>IFERROR(VLOOKUP(D32,'미니게임_DATA(순)'!$A$5:$DE$38,101,0),0)</f>
        <v>132</v>
      </c>
      <c r="F32" s="279"/>
      <c r="G32" s="527"/>
      <c r="H32" s="527"/>
      <c r="I32" s="275">
        <f>IFERROR(VLOOKUP(D32,'미니게임_DATA(순)'!$A$4:$DE$45,102,0),0)</f>
        <v>157</v>
      </c>
      <c r="J32" s="279"/>
      <c r="K32" s="527"/>
      <c r="L32" s="527"/>
      <c r="M32" s="275">
        <f>IFERROR(VLOOKUP(D32,'미니게임_DATA(순)'!$A$4:$DE$45,103,0),0)</f>
        <v>125</v>
      </c>
      <c r="N32" s="279"/>
      <c r="O32" s="527"/>
      <c r="P32" s="527"/>
      <c r="Q32" s="275">
        <f t="shared" si="0"/>
        <v>414</v>
      </c>
      <c r="R32" s="276">
        <f t="shared" si="11"/>
        <v>138</v>
      </c>
      <c r="S32" s="530"/>
      <c r="T32" s="533"/>
      <c r="U32" s="190">
        <f>IFERROR(R32-VLOOKUP(D32,'미니게임_DATA(순)'!$A:$DM,MATCH("rct 10g avg",'미니게임_DATA(순)'!$A$3:$DM$3,0),0),0)</f>
        <v>0</v>
      </c>
      <c r="W32" s="185">
        <f t="shared" si="2"/>
        <v>157</v>
      </c>
      <c r="X32" s="267">
        <f t="shared" si="12"/>
        <v>138</v>
      </c>
      <c r="Y32" s="267" t="str">
        <f>VLOOKUP(Z32,'미니게임_DATA(순)'!$A$4:$C$45,3,0)</f>
        <v>남</v>
      </c>
      <c r="Z32" s="187" t="str">
        <f t="shared" si="4"/>
        <v>한희용</v>
      </c>
    </row>
    <row r="33" spans="2:28">
      <c r="C33" s="538"/>
      <c r="D33" s="188" t="s">
        <v>40</v>
      </c>
      <c r="E33" s="306">
        <f>IFERROR(VLOOKUP(D33,'미니게임_DATA(순)'!$A$4:$DE$45,101,0),0)</f>
        <v>0</v>
      </c>
      <c r="F33" s="279"/>
      <c r="G33" s="527"/>
      <c r="H33" s="527"/>
      <c r="I33" s="275">
        <f>IFERROR(VLOOKUP(D33,'미니게임_DATA(순)'!$A$4:$DE$45,102,0),0)</f>
        <v>0</v>
      </c>
      <c r="J33" s="279"/>
      <c r="K33" s="527"/>
      <c r="L33" s="527"/>
      <c r="M33" s="275">
        <f>IFERROR(VLOOKUP(D33,'미니게임_DATA(순)'!$A$4:$DE$45,103,0),0)</f>
        <v>0</v>
      </c>
      <c r="N33" s="279"/>
      <c r="O33" s="527"/>
      <c r="P33" s="527"/>
      <c r="Q33" s="279">
        <f t="shared" si="0"/>
        <v>0</v>
      </c>
      <c r="R33" s="276">
        <f t="shared" si="11"/>
        <v>0</v>
      </c>
      <c r="S33" s="530"/>
      <c r="T33" s="533"/>
      <c r="U33" s="190">
        <f>IFERROR(R33-VLOOKUP(D33,'미니게임_DATA(순)'!$A:$DM,MATCH("rct 10g avg",'미니게임_DATA(순)'!$A$3:$DM$3,0),0),0)</f>
        <v>0</v>
      </c>
      <c r="W33" s="185">
        <f t="shared" si="2"/>
        <v>0</v>
      </c>
      <c r="X33" s="267">
        <f t="shared" si="12"/>
        <v>0</v>
      </c>
      <c r="Y33" s="267" t="e">
        <f>VLOOKUP(Z33,'미니게임_DATA(순)'!$A$4:$C$45,3,0)</f>
        <v>#N/A</v>
      </c>
      <c r="Z33" s="187" t="str">
        <f t="shared" si="4"/>
        <v>조연희</v>
      </c>
    </row>
    <row r="34" spans="2:28" ht="16.5">
      <c r="C34" s="539"/>
      <c r="D34" s="344"/>
      <c r="E34" s="535">
        <f>SUMIF(E28:F33, "&gt;0")</f>
        <v>748</v>
      </c>
      <c r="F34" s="498"/>
      <c r="G34" s="528"/>
      <c r="H34" s="528"/>
      <c r="I34" s="535">
        <f>SUMIF(I28:J33, "&gt;0")</f>
        <v>878</v>
      </c>
      <c r="J34" s="498"/>
      <c r="K34" s="528"/>
      <c r="L34" s="528"/>
      <c r="M34" s="535">
        <f>SUMIF(M28:N33, "&gt;0")</f>
        <v>789</v>
      </c>
      <c r="N34" s="498"/>
      <c r="O34" s="528"/>
      <c r="P34" s="528"/>
      <c r="Q34" s="272">
        <f t="shared" si="0"/>
        <v>2415</v>
      </c>
      <c r="R34" s="196"/>
      <c r="S34" s="531"/>
      <c r="T34" s="534"/>
      <c r="U34" s="277">
        <f>IFERROR(R34-VLOOKUP(D34,'미니게임_DATA(순)'!$A:$DM,MATCH("rct 10g avg",'미니게임_DATA(순)'!$A$3:$DM$3,0),0),0)</f>
        <v>0</v>
      </c>
      <c r="V34" s="185"/>
      <c r="W34" s="185"/>
      <c r="Z34" s="187">
        <f t="shared" si="4"/>
        <v>0</v>
      </c>
      <c r="AA34" s="187">
        <f>SUM(E34,I34)</f>
        <v>1626</v>
      </c>
    </row>
    <row r="35" spans="2:28">
      <c r="C35" s="537" t="s">
        <v>148</v>
      </c>
      <c r="D35" s="180"/>
      <c r="E35" s="299"/>
      <c r="F35" s="273"/>
      <c r="G35" s="526"/>
      <c r="H35" s="526"/>
      <c r="I35" s="273"/>
      <c r="J35" s="273"/>
      <c r="K35" s="526"/>
      <c r="L35" s="526"/>
      <c r="M35" s="299"/>
      <c r="N35" s="273"/>
      <c r="O35" s="526"/>
      <c r="P35" s="526"/>
      <c r="Q35" s="273"/>
      <c r="R35" s="274"/>
      <c r="S35" s="529"/>
      <c r="T35" s="532"/>
      <c r="U35" s="184"/>
      <c r="W35" s="185">
        <f t="array" ref="W35">MAX(IF('미니게임_DATA(순)'!$A$5:$A$41=Z35,'미니게임_DATA(순)'!$CT$5:$CV$41))</f>
        <v>0</v>
      </c>
      <c r="X35" s="267">
        <f>R35</f>
        <v>0</v>
      </c>
      <c r="Z35" s="187">
        <f t="shared" si="4"/>
        <v>0</v>
      </c>
    </row>
    <row r="36" spans="2:28">
      <c r="C36" s="538"/>
      <c r="D36" s="188"/>
      <c r="E36" s="275"/>
      <c r="F36" s="275"/>
      <c r="G36" s="527"/>
      <c r="H36" s="527"/>
      <c r="I36" s="302"/>
      <c r="J36" s="275"/>
      <c r="K36" s="527"/>
      <c r="L36" s="527"/>
      <c r="M36" s="275"/>
      <c r="N36" s="275"/>
      <c r="O36" s="527"/>
      <c r="P36" s="527"/>
      <c r="Q36" s="275"/>
      <c r="R36" s="276"/>
      <c r="S36" s="530"/>
      <c r="T36" s="533"/>
      <c r="U36" s="190"/>
      <c r="W36" s="185">
        <f t="array" ref="W36">MAX(IF('미니게임_DATA(순)'!$A$5:$A$41=Z36,'미니게임_DATA(순)'!$CT$5:$CV$41))</f>
        <v>0</v>
      </c>
      <c r="X36" s="267">
        <f>R36</f>
        <v>0</v>
      </c>
      <c r="Z36" s="187">
        <f t="shared" si="4"/>
        <v>0</v>
      </c>
    </row>
    <row r="37" spans="2:28">
      <c r="C37" s="538"/>
      <c r="D37" s="188"/>
      <c r="E37" s="275"/>
      <c r="F37" s="275"/>
      <c r="G37" s="527"/>
      <c r="H37" s="527"/>
      <c r="I37" s="275"/>
      <c r="J37" s="275"/>
      <c r="K37" s="527"/>
      <c r="L37" s="527"/>
      <c r="M37" s="275"/>
      <c r="N37" s="275"/>
      <c r="O37" s="527"/>
      <c r="P37" s="527"/>
      <c r="Q37" s="275"/>
      <c r="R37" s="300"/>
      <c r="S37" s="530"/>
      <c r="T37" s="533"/>
      <c r="U37" s="190"/>
      <c r="W37" s="185">
        <f t="array" ref="W37">MAX(IF('미니게임_DATA(순)'!$A$5:$A$41=Z37,'미니게임_DATA(순)'!$CN$5:$CP$41))</f>
        <v>0</v>
      </c>
      <c r="X37" s="267">
        <f>R37</f>
        <v>0</v>
      </c>
      <c r="Z37" s="187">
        <f t="shared" si="4"/>
        <v>0</v>
      </c>
    </row>
    <row r="38" spans="2:28">
      <c r="C38" s="538"/>
      <c r="D38" s="188"/>
      <c r="E38" s="279"/>
      <c r="F38" s="279"/>
      <c r="G38" s="527"/>
      <c r="H38" s="527"/>
      <c r="I38" s="279"/>
      <c r="J38" s="279"/>
      <c r="K38" s="527"/>
      <c r="L38" s="527"/>
      <c r="M38" s="279"/>
      <c r="N38" s="279"/>
      <c r="O38" s="527"/>
      <c r="P38" s="527"/>
      <c r="Q38" s="279"/>
      <c r="R38" s="276"/>
      <c r="S38" s="530"/>
      <c r="T38" s="533"/>
      <c r="U38" s="190"/>
      <c r="W38" s="185"/>
      <c r="Z38" s="187"/>
    </row>
    <row r="39" spans="2:28" ht="16.5">
      <c r="C39" s="539"/>
      <c r="D39" s="344"/>
      <c r="E39" s="535"/>
      <c r="F39" s="498"/>
      <c r="G39" s="528"/>
      <c r="H39" s="528"/>
      <c r="I39" s="535"/>
      <c r="J39" s="498"/>
      <c r="K39" s="528"/>
      <c r="L39" s="528"/>
      <c r="M39" s="535"/>
      <c r="N39" s="498"/>
      <c r="O39" s="528"/>
      <c r="P39" s="528"/>
      <c r="Q39" s="272"/>
      <c r="R39" s="196"/>
      <c r="S39" s="531"/>
      <c r="T39" s="534"/>
      <c r="U39" s="277"/>
      <c r="V39" s="185"/>
      <c r="W39" s="185"/>
      <c r="Z39" s="187">
        <f>D39</f>
        <v>0</v>
      </c>
      <c r="AA39" s="187">
        <f>SUM(E39,I39)</f>
        <v>0</v>
      </c>
    </row>
    <row r="40" spans="2:28">
      <c r="C40" s="537" t="s">
        <v>149</v>
      </c>
      <c r="D40" s="180"/>
      <c r="E40" s="299"/>
      <c r="F40" s="273"/>
      <c r="G40" s="526"/>
      <c r="H40" s="526"/>
      <c r="I40" s="299"/>
      <c r="J40" s="273"/>
      <c r="K40" s="526"/>
      <c r="L40" s="526"/>
      <c r="M40" s="273"/>
      <c r="N40" s="273"/>
      <c r="O40" s="526"/>
      <c r="P40" s="526"/>
      <c r="Q40" s="273"/>
      <c r="R40" s="303"/>
      <c r="S40" s="529"/>
      <c r="T40" s="532"/>
      <c r="U40" s="184"/>
      <c r="W40" s="185">
        <f t="array" ref="W40">MAX(IF('미니게임_DATA(순)'!$A$5:$A$41=Z40,'미니게임_DATA(순)'!$CT$5:$CV$41))</f>
        <v>0</v>
      </c>
      <c r="X40" s="267">
        <f>R40</f>
        <v>0</v>
      </c>
      <c r="Z40" s="187">
        <f>D40</f>
        <v>0</v>
      </c>
    </row>
    <row r="41" spans="2:28" s="172" customFormat="1">
      <c r="B41" s="169"/>
      <c r="C41" s="538"/>
      <c r="D41" s="188"/>
      <c r="E41" s="275"/>
      <c r="F41" s="275"/>
      <c r="G41" s="527"/>
      <c r="H41" s="527"/>
      <c r="I41" s="275"/>
      <c r="J41" s="275"/>
      <c r="K41" s="527"/>
      <c r="L41" s="527"/>
      <c r="M41" s="302"/>
      <c r="N41" s="275"/>
      <c r="O41" s="527"/>
      <c r="P41" s="527"/>
      <c r="Q41" s="275"/>
      <c r="R41" s="276"/>
      <c r="S41" s="530"/>
      <c r="T41" s="533"/>
      <c r="U41" s="190"/>
      <c r="W41" s="185">
        <f t="array" ref="W41">MAX(IF('미니게임_DATA(순)'!$A$5:$A$41=Z41,'미니게임_DATA(순)'!$CT$5:$CV$41))</f>
        <v>0</v>
      </c>
      <c r="X41" s="267">
        <f>R41</f>
        <v>0</v>
      </c>
      <c r="Y41" s="267"/>
      <c r="Z41" s="187">
        <f>D41</f>
        <v>0</v>
      </c>
      <c r="AA41" s="169"/>
      <c r="AB41" s="169"/>
    </row>
    <row r="42" spans="2:28" s="172" customFormat="1">
      <c r="B42" s="169"/>
      <c r="C42" s="538"/>
      <c r="D42" s="188"/>
      <c r="E42" s="275"/>
      <c r="F42" s="275"/>
      <c r="G42" s="527"/>
      <c r="H42" s="527"/>
      <c r="I42" s="275"/>
      <c r="J42" s="275"/>
      <c r="K42" s="527"/>
      <c r="L42" s="527"/>
      <c r="M42" s="275"/>
      <c r="N42" s="275"/>
      <c r="O42" s="527"/>
      <c r="P42" s="527"/>
      <c r="Q42" s="275"/>
      <c r="R42" s="300"/>
      <c r="S42" s="530"/>
      <c r="T42" s="533"/>
      <c r="U42" s="190"/>
      <c r="W42" s="185">
        <f t="array" ref="W42">MAX(IF('미니게임_DATA(순)'!$A$5:$A$41=Z42,'미니게임_DATA(순)'!$CN$5:$CP$41))</f>
        <v>0</v>
      </c>
      <c r="X42" s="267">
        <f>R42</f>
        <v>0</v>
      </c>
      <c r="Y42" s="267"/>
      <c r="Z42" s="187">
        <f>D42</f>
        <v>0</v>
      </c>
      <c r="AA42" s="169"/>
      <c r="AB42" s="169"/>
    </row>
    <row r="43" spans="2:28">
      <c r="C43" s="538"/>
      <c r="D43" s="188"/>
      <c r="E43" s="279"/>
      <c r="F43" s="279"/>
      <c r="G43" s="527"/>
      <c r="H43" s="527"/>
      <c r="I43" s="279"/>
      <c r="J43" s="279"/>
      <c r="K43" s="527"/>
      <c r="L43" s="527"/>
      <c r="M43" s="279"/>
      <c r="N43" s="279"/>
      <c r="O43" s="527"/>
      <c r="P43" s="527"/>
      <c r="Q43" s="279"/>
      <c r="R43" s="276"/>
      <c r="S43" s="530"/>
      <c r="T43" s="533"/>
      <c r="U43" s="190"/>
      <c r="W43" s="185"/>
      <c r="Z43" s="187"/>
    </row>
    <row r="44" spans="2:28" ht="16.5">
      <c r="C44" s="539"/>
      <c r="D44" s="344"/>
      <c r="E44" s="535"/>
      <c r="F44" s="498"/>
      <c r="G44" s="528"/>
      <c r="H44" s="528"/>
      <c r="I44" s="535"/>
      <c r="J44" s="498"/>
      <c r="K44" s="528"/>
      <c r="L44" s="528"/>
      <c r="M44" s="535"/>
      <c r="N44" s="498"/>
      <c r="O44" s="528"/>
      <c r="P44" s="528"/>
      <c r="Q44" s="272"/>
      <c r="R44" s="278"/>
      <c r="S44" s="531"/>
      <c r="T44" s="534"/>
      <c r="U44" s="277"/>
      <c r="V44" s="185"/>
      <c r="W44" s="185"/>
      <c r="Z44" s="187">
        <f>D44</f>
        <v>0</v>
      </c>
      <c r="AA44" s="187">
        <f>SUM(E44,I44)</f>
        <v>0</v>
      </c>
    </row>
  </sheetData>
  <mergeCells count="77">
    <mergeCell ref="B2:B3"/>
    <mergeCell ref="B4:B5"/>
    <mergeCell ref="B6:B9"/>
    <mergeCell ref="D6:E6"/>
    <mergeCell ref="D7:E7"/>
    <mergeCell ref="D8:E8"/>
    <mergeCell ref="D9:E9"/>
    <mergeCell ref="U11:U13"/>
    <mergeCell ref="E12:H12"/>
    <mergeCell ref="I12:L12"/>
    <mergeCell ref="M12:P12"/>
    <mergeCell ref="C14:C20"/>
    <mergeCell ref="G14:G20"/>
    <mergeCell ref="H14:H20"/>
    <mergeCell ref="K14:K20"/>
    <mergeCell ref="L14:L20"/>
    <mergeCell ref="O14:O20"/>
    <mergeCell ref="C11:C13"/>
    <mergeCell ref="D11:D13"/>
    <mergeCell ref="E11:P11"/>
    <mergeCell ref="Q11:Q13"/>
    <mergeCell ref="R11:R13"/>
    <mergeCell ref="S11:T12"/>
    <mergeCell ref="P14:P20"/>
    <mergeCell ref="S14:S20"/>
    <mergeCell ref="T14:T20"/>
    <mergeCell ref="E20:F20"/>
    <mergeCell ref="I20:J20"/>
    <mergeCell ref="M20:N20"/>
    <mergeCell ref="C21:C27"/>
    <mergeCell ref="G21:G27"/>
    <mergeCell ref="H21:H27"/>
    <mergeCell ref="K21:K27"/>
    <mergeCell ref="L21:L27"/>
    <mergeCell ref="P21:P27"/>
    <mergeCell ref="S21:S27"/>
    <mergeCell ref="T21:T27"/>
    <mergeCell ref="E27:F27"/>
    <mergeCell ref="I27:J27"/>
    <mergeCell ref="M27:N27"/>
    <mergeCell ref="O21:O27"/>
    <mergeCell ref="C28:C34"/>
    <mergeCell ref="G28:G34"/>
    <mergeCell ref="H28:H34"/>
    <mergeCell ref="K28:K34"/>
    <mergeCell ref="L28:L34"/>
    <mergeCell ref="P28:P34"/>
    <mergeCell ref="S28:S34"/>
    <mergeCell ref="T28:T34"/>
    <mergeCell ref="E34:F34"/>
    <mergeCell ref="I34:J34"/>
    <mergeCell ref="M34:N34"/>
    <mergeCell ref="O28:O34"/>
    <mergeCell ref="C35:C39"/>
    <mergeCell ref="G35:G39"/>
    <mergeCell ref="H35:H39"/>
    <mergeCell ref="K35:K39"/>
    <mergeCell ref="L35:L39"/>
    <mergeCell ref="P35:P39"/>
    <mergeCell ref="S35:S39"/>
    <mergeCell ref="T35:T39"/>
    <mergeCell ref="E39:F39"/>
    <mergeCell ref="I39:J39"/>
    <mergeCell ref="M39:N39"/>
    <mergeCell ref="O35:O39"/>
    <mergeCell ref="C40:C44"/>
    <mergeCell ref="G40:G44"/>
    <mergeCell ref="H40:H44"/>
    <mergeCell ref="K40:K44"/>
    <mergeCell ref="L40:L44"/>
    <mergeCell ref="P40:P44"/>
    <mergeCell ref="S40:S44"/>
    <mergeCell ref="T40:T44"/>
    <mergeCell ref="E44:F44"/>
    <mergeCell ref="I44:J44"/>
    <mergeCell ref="M44:N44"/>
    <mergeCell ref="O40:O44"/>
  </mergeCells>
  <phoneticPr fontId="2" type="noConversion"/>
  <conditionalFormatting sqref="G45:H1048576 O45:P1048576 K45:L1048576 G1:H1 K1:L1 O1:P1">
    <cfRule type="cellIs" dxfId="143" priority="18" operator="equal">
      <formula>1</formula>
    </cfRule>
  </conditionalFormatting>
  <conditionalFormatting sqref="O12:P13 G2:H13 K2:L13 O2:P10">
    <cfRule type="cellIs" dxfId="142" priority="9" operator="equal">
      <formula>1</formula>
    </cfRule>
  </conditionalFormatting>
  <conditionalFormatting sqref="P14:P44">
    <cfRule type="cellIs" dxfId="141" priority="7" operator="equal">
      <formula>1</formula>
    </cfRule>
  </conditionalFormatting>
  <conditionalFormatting sqref="G14:H14 G21:H21 H15:H20 G35:H35 H29:H34 G28:H28 H22:H27 H36:H39">
    <cfRule type="cellIs" dxfId="140" priority="8" operator="equal">
      <formula>1</formula>
    </cfRule>
  </conditionalFormatting>
  <conditionalFormatting sqref="K14:L14 K21 K35 K28 L15:L44">
    <cfRule type="cellIs" dxfId="139" priority="6" operator="equal">
      <formula>1</formula>
    </cfRule>
  </conditionalFormatting>
  <conditionalFormatting sqref="O14 O21 O35 O28">
    <cfRule type="cellIs" dxfId="138" priority="5" operator="equal">
      <formula>1</formula>
    </cfRule>
  </conditionalFormatting>
  <conditionalFormatting sqref="G40">
    <cfRule type="cellIs" dxfId="137" priority="4" operator="equal">
      <formula>1</formula>
    </cfRule>
  </conditionalFormatting>
  <conditionalFormatting sqref="H40:H44">
    <cfRule type="cellIs" dxfId="136" priority="3" operator="equal">
      <formula>1</formula>
    </cfRule>
  </conditionalFormatting>
  <conditionalFormatting sqref="K40">
    <cfRule type="cellIs" dxfId="135" priority="2" operator="equal">
      <formula>1</formula>
    </cfRule>
  </conditionalFormatting>
  <conditionalFormatting sqref="O40">
    <cfRule type="cellIs" dxfId="134" priority="1" operator="equal">
      <formula>1</formula>
    </cfRule>
  </conditionalFormatting>
  <pageMargins left="0.7" right="0.7" top="0.75" bottom="0.75" header="0.3" footer="0.3"/>
  <pageSetup paperSize="9" orientation="portrait" r:id="rId1"/>
  <ignoredErrors>
    <ignoredError sqref="E15" formula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8"/>
  <sheetViews>
    <sheetView showGridLines="0" zoomScale="85" zoomScaleNormal="85" workbookViewId="0">
      <selection activeCell="AG53" sqref="AG53"/>
    </sheetView>
  </sheetViews>
  <sheetFormatPr defaultColWidth="9" defaultRowHeight="13.5"/>
  <cols>
    <col min="1" max="5" width="9" style="169"/>
    <col min="6" max="8" width="5.375" style="169" customWidth="1"/>
    <col min="9" max="9" width="9" style="169"/>
    <col min="10" max="12" width="5.375" style="169" customWidth="1"/>
    <col min="13" max="13" width="9" style="169"/>
    <col min="14" max="16" width="5.375" style="169" customWidth="1"/>
    <col min="17" max="17" width="7.375" style="170" customWidth="1"/>
    <col min="18" max="18" width="7.375" style="171" customWidth="1"/>
    <col min="19" max="20" width="7.375" style="169" customWidth="1"/>
    <col min="21" max="21" width="9" style="169"/>
    <col min="22" max="23" width="9" style="172" hidden="1" customWidth="1"/>
    <col min="24" max="25" width="9" style="267" hidden="1" customWidth="1"/>
    <col min="26" max="28" width="9" style="169" hidden="1" customWidth="1"/>
    <col min="29" max="16384" width="9" style="169"/>
  </cols>
  <sheetData>
    <row r="2" spans="2:28">
      <c r="B2" s="550" t="s">
        <v>154</v>
      </c>
      <c r="C2" s="166" t="s">
        <v>156</v>
      </c>
      <c r="D2" s="167" t="str">
        <f>VLOOKUP(E2,W14:Z37,3,0)</f>
        <v>남</v>
      </c>
      <c r="E2" s="198">
        <f t="array" ref="E2">MAX(IF('미니게임_DATA(순)'!$C$5:$C$41="남",'미니게임_DATA(순)'!$CT$5:$CV$41))</f>
        <v>234</v>
      </c>
      <c r="F2" s="268"/>
    </row>
    <row r="3" spans="2:28">
      <c r="B3" s="551"/>
      <c r="C3" s="166" t="s">
        <v>157</v>
      </c>
      <c r="D3" s="167" t="str">
        <f>VLOOKUP(E3,W15:Z38,3,0)</f>
        <v>여</v>
      </c>
      <c r="E3" s="198">
        <f t="array" ref="E3">MAX(IF('미니게임_DATA(순)'!$C$5:$C$41="여",'미니게임_DATA(순)'!$CT$5:$CV$41))</f>
        <v>149</v>
      </c>
      <c r="F3" s="268"/>
    </row>
    <row r="4" spans="2:28">
      <c r="B4" s="550" t="s">
        <v>158</v>
      </c>
      <c r="C4" s="166" t="s">
        <v>156</v>
      </c>
      <c r="D4" s="167" t="str">
        <f>VLOOKUP(E4,X14:Z38,3,0)</f>
        <v>조문수</v>
      </c>
      <c r="E4" s="168">
        <f t="array" ref="E4">MAX(IF(Y14:Y38="남",X14:X38))</f>
        <v>198.33333333333334</v>
      </c>
      <c r="F4" s="268"/>
    </row>
    <row r="5" spans="2:28">
      <c r="B5" s="551"/>
      <c r="C5" s="166" t="s">
        <v>157</v>
      </c>
      <c r="D5" s="167" t="str">
        <f>VLOOKUP(E5,X15:Z39,3,0)</f>
        <v>오수인</v>
      </c>
      <c r="E5" s="168">
        <f t="array" ref="E5">MAX(IF(Y14:Y38="여",X14:X38))</f>
        <v>133.66666666666666</v>
      </c>
      <c r="F5" s="268"/>
    </row>
    <row r="6" spans="2:28" ht="16.5">
      <c r="B6" s="550" t="s">
        <v>224</v>
      </c>
      <c r="C6" s="235" t="s">
        <v>154</v>
      </c>
      <c r="D6" s="554" t="s">
        <v>8</v>
      </c>
      <c r="E6" s="472"/>
      <c r="F6" s="269"/>
    </row>
    <row r="7" spans="2:28" ht="16.5">
      <c r="B7" s="552"/>
      <c r="C7" s="235" t="s">
        <v>226</v>
      </c>
      <c r="D7" s="554" t="s">
        <v>8</v>
      </c>
      <c r="E7" s="472"/>
      <c r="F7" s="269"/>
    </row>
    <row r="8" spans="2:28" ht="16.5">
      <c r="B8" s="552"/>
      <c r="C8" s="235" t="s">
        <v>88</v>
      </c>
      <c r="D8" s="554"/>
      <c r="E8" s="498"/>
      <c r="F8" s="270"/>
    </row>
    <row r="9" spans="2:28" ht="16.5">
      <c r="B9" s="553"/>
      <c r="C9" s="235" t="s">
        <v>227</v>
      </c>
      <c r="D9" s="554" t="s">
        <v>239</v>
      </c>
      <c r="E9" s="472"/>
      <c r="F9" s="269"/>
    </row>
    <row r="11" spans="2:28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545"/>
      <c r="M11" s="545"/>
      <c r="N11" s="546"/>
      <c r="O11" s="546"/>
      <c r="P11" s="496"/>
      <c r="Q11" s="547" t="s">
        <v>142</v>
      </c>
      <c r="R11" s="548" t="s">
        <v>184</v>
      </c>
      <c r="S11" s="542" t="s">
        <v>169</v>
      </c>
      <c r="T11" s="542"/>
      <c r="U11" s="542" t="s">
        <v>143</v>
      </c>
    </row>
    <row r="12" spans="2:28">
      <c r="C12" s="543"/>
      <c r="D12" s="543"/>
      <c r="E12" s="543">
        <v>1</v>
      </c>
      <c r="F12" s="543"/>
      <c r="G12" s="543"/>
      <c r="H12" s="543"/>
      <c r="I12" s="543">
        <v>2</v>
      </c>
      <c r="J12" s="543"/>
      <c r="K12" s="543"/>
      <c r="L12" s="543"/>
      <c r="M12" s="543">
        <v>3</v>
      </c>
      <c r="N12" s="543"/>
      <c r="O12" s="543"/>
      <c r="P12" s="543"/>
      <c r="Q12" s="547"/>
      <c r="R12" s="549"/>
      <c r="S12" s="542"/>
      <c r="T12" s="542"/>
      <c r="U12" s="542"/>
      <c r="AB12" s="172"/>
    </row>
    <row r="13" spans="2:28" ht="27">
      <c r="C13" s="543"/>
      <c r="D13" s="543"/>
      <c r="E13" s="291" t="s">
        <v>150</v>
      </c>
      <c r="F13" s="290" t="s">
        <v>302</v>
      </c>
      <c r="G13" s="290" t="s">
        <v>152</v>
      </c>
      <c r="H13" s="290" t="s">
        <v>153</v>
      </c>
      <c r="I13" s="291" t="s">
        <v>150</v>
      </c>
      <c r="J13" s="290" t="s">
        <v>302</v>
      </c>
      <c r="K13" s="290" t="s">
        <v>152</v>
      </c>
      <c r="L13" s="290" t="s">
        <v>153</v>
      </c>
      <c r="M13" s="291" t="s">
        <v>150</v>
      </c>
      <c r="N13" s="290" t="s">
        <v>302</v>
      </c>
      <c r="O13" s="290" t="s">
        <v>152</v>
      </c>
      <c r="P13" s="290" t="s">
        <v>153</v>
      </c>
      <c r="Q13" s="547"/>
      <c r="R13" s="549"/>
      <c r="S13" s="290" t="s">
        <v>144</v>
      </c>
      <c r="T13" s="291" t="s">
        <v>168</v>
      </c>
      <c r="U13" s="543"/>
      <c r="W13" s="172" t="s">
        <v>170</v>
      </c>
      <c r="X13" s="267" t="s">
        <v>171</v>
      </c>
    </row>
    <row r="14" spans="2:28">
      <c r="C14" s="537" t="s">
        <v>145</v>
      </c>
      <c r="D14" s="180" t="s">
        <v>13</v>
      </c>
      <c r="E14" s="299">
        <f>IFERROR(VLOOKUP(D14,'미니게임_DATA(순)'!$A$5:$EV$38,98,0),0)</f>
        <v>203</v>
      </c>
      <c r="F14" s="273"/>
      <c r="G14" s="526">
        <f>RANK(E18,($E$18,$E$23,$E$28,$E$33,E$38))</f>
        <v>1</v>
      </c>
      <c r="H14" s="526">
        <f>G14</f>
        <v>1</v>
      </c>
      <c r="I14" s="299">
        <f>IFERROR(VLOOKUP(D14,'미니게임_DATA(순)'!$A$5:$EV$38,99,0),0)</f>
        <v>193</v>
      </c>
      <c r="J14" s="273"/>
      <c r="K14" s="526">
        <f>RANK(I18,($I$18,$I$23,$I$28,$I$33,I$38))</f>
        <v>2</v>
      </c>
      <c r="L14" s="526">
        <f>RANK(AA18,($AA$18,$AA$23,$AA$28,$AA$33,$AA$38))</f>
        <v>1</v>
      </c>
      <c r="M14" s="299">
        <f>IFERROR(VLOOKUP(D14,'미니게임_DATA(순)'!$A$5:$EV$38,100,0),0)</f>
        <v>143</v>
      </c>
      <c r="N14" s="273"/>
      <c r="O14" s="526">
        <f>RANK(M18,($M$18,$M$23,$M$28,$M$33,$M$38))</f>
        <v>3</v>
      </c>
      <c r="P14" s="526">
        <f>S14</f>
        <v>1</v>
      </c>
      <c r="Q14" s="273">
        <f t="shared" ref="Q14:Q37" si="0">E14+I14+M14</f>
        <v>539</v>
      </c>
      <c r="R14" s="274">
        <f>AVERAGE(E14,I14,M14)</f>
        <v>179.66666666666666</v>
      </c>
      <c r="S14" s="529">
        <f>RANK(Q18,($Q$18,$Q$23,$Q$28,$Q$33,$Q$38))</f>
        <v>1</v>
      </c>
      <c r="T14" s="541">
        <f>MAX($Q$18,$Q$23,Q$28,Q$33,Q$38)-Q18</f>
        <v>0</v>
      </c>
      <c r="U14" s="184">
        <f>IFERROR(R14-VLOOKUP(D14,'미니게임_DATA(순)'!$A:$FB,MATCH("rct 10g avg",'미니게임_DATA(순)'!$A$3:$FB$3,0),0),0)</f>
        <v>20.466666666666669</v>
      </c>
      <c r="W14" s="185">
        <f>MAX(E14,I14,M14)</f>
        <v>203</v>
      </c>
      <c r="X14" s="267">
        <f>R14</f>
        <v>179.66666666666666</v>
      </c>
      <c r="Y14" s="267" t="str">
        <f>VLOOKUP(Z14,'미니게임_DATA(순)'!$A$4:$C$45,3,0)</f>
        <v>남</v>
      </c>
      <c r="Z14" s="187" t="str">
        <f>D14</f>
        <v>정동현</v>
      </c>
    </row>
    <row r="15" spans="2:28">
      <c r="C15" s="538"/>
      <c r="D15" s="188" t="s">
        <v>10</v>
      </c>
      <c r="E15" s="275">
        <f>IFERROR(VLOOKUP(D15,'미니게임_DATA(순)'!$A$5:$EV$38,98,0),0)</f>
        <v>205</v>
      </c>
      <c r="F15" s="275"/>
      <c r="G15" s="527"/>
      <c r="H15" s="527"/>
      <c r="I15" s="275">
        <f>IFERROR(VLOOKUP(D15,'미니게임_DATA(순)'!$A$5:$EV$38,99,0),0)</f>
        <v>157</v>
      </c>
      <c r="J15" s="275"/>
      <c r="K15" s="527"/>
      <c r="L15" s="527"/>
      <c r="M15" s="275">
        <f>IFERROR(VLOOKUP(D15,'미니게임_DATA(순)'!$A$5:$EV$38,100,0),0)</f>
        <v>141</v>
      </c>
      <c r="N15" s="275"/>
      <c r="O15" s="527"/>
      <c r="P15" s="527"/>
      <c r="Q15" s="275">
        <f t="shared" si="0"/>
        <v>503</v>
      </c>
      <c r="R15" s="301">
        <f>AVERAGE(E15,I15,M15)</f>
        <v>167.66666666666666</v>
      </c>
      <c r="S15" s="530"/>
      <c r="T15" s="527"/>
      <c r="U15" s="190">
        <f>IFERROR(R15-VLOOKUP(D15,'미니게임_DATA(순)'!$A:$FB,MATCH("rct 10g avg",'미니게임_DATA(순)'!$A$3:$FB$3,0),0),0)</f>
        <v>14.266666666666652</v>
      </c>
      <c r="W15" s="185">
        <f t="shared" ref="W15:W37" si="1">MAX(E15,I15,M15)</f>
        <v>205</v>
      </c>
      <c r="X15" s="267">
        <f t="shared" ref="X15:X16" si="2">R15</f>
        <v>167.66666666666666</v>
      </c>
      <c r="Y15" s="267" t="str">
        <f>VLOOKUP(Z15,'미니게임_DATA(순)'!$A$4:$C$45,3,0)</f>
        <v>남</v>
      </c>
      <c r="Z15" s="187" t="str">
        <f>D15</f>
        <v>김신철</v>
      </c>
    </row>
    <row r="16" spans="2:28">
      <c r="C16" s="538"/>
      <c r="D16" s="188"/>
      <c r="E16" s="275">
        <f>IFERROR(VLOOKUP(D16,'미니게임_DATA(순)'!$A$5:$EV$38,92,0),0)</f>
        <v>0</v>
      </c>
      <c r="F16" s="275"/>
      <c r="G16" s="527"/>
      <c r="H16" s="527"/>
      <c r="I16" s="275">
        <f>IFERROR(VLOOKUP(D16,'미니게임_DATA(순)'!$A$5:$EV$38,93,0),0)</f>
        <v>0</v>
      </c>
      <c r="J16" s="275"/>
      <c r="K16" s="527"/>
      <c r="L16" s="527"/>
      <c r="M16" s="275">
        <f>IFERROR(VLOOKUP(D16,'미니게임_DATA(순)'!$A$5:$EV$38,94,0),0)</f>
        <v>0</v>
      </c>
      <c r="N16" s="275"/>
      <c r="O16" s="527"/>
      <c r="P16" s="527"/>
      <c r="Q16" s="275">
        <f t="shared" si="0"/>
        <v>0</v>
      </c>
      <c r="R16" s="276">
        <f>IFERROR(VLOOKUP(D16,'미니게임_DATA(순)'!$EW$5:$EW$41,2,0),0)</f>
        <v>0</v>
      </c>
      <c r="S16" s="530"/>
      <c r="T16" s="527"/>
      <c r="U16" s="190">
        <f>IFERROR(R16-VLOOKUP(D16,'미니게임_DATA(순)'!$A:$FB,MATCH("rct 10g avg",'미니게임_DATA(순)'!$A$3:$FB$3,0),0),0)</f>
        <v>0</v>
      </c>
      <c r="W16" s="185">
        <f t="shared" si="1"/>
        <v>0</v>
      </c>
      <c r="X16" s="267">
        <f t="shared" si="2"/>
        <v>0</v>
      </c>
      <c r="Z16" s="187">
        <f>D16</f>
        <v>0</v>
      </c>
    </row>
    <row r="17" spans="3:27">
      <c r="C17" s="538"/>
      <c r="D17" s="191"/>
      <c r="E17" s="279"/>
      <c r="F17" s="279"/>
      <c r="G17" s="527"/>
      <c r="H17" s="527"/>
      <c r="I17" s="279"/>
      <c r="J17" s="279"/>
      <c r="K17" s="527"/>
      <c r="L17" s="527"/>
      <c r="M17" s="279"/>
      <c r="N17" s="279"/>
      <c r="O17" s="527"/>
      <c r="P17" s="527"/>
      <c r="Q17" s="279">
        <f t="shared" si="0"/>
        <v>0</v>
      </c>
      <c r="R17" s="276">
        <f t="shared" ref="R17" si="3">Q17/3</f>
        <v>0</v>
      </c>
      <c r="S17" s="530"/>
      <c r="T17" s="527"/>
      <c r="U17" s="190">
        <f>IFERROR(R17-VLOOKUP(D17,'미니게임_DATA(순)'!$A:$FB,MATCH("rct 10g avg",'미니게임_DATA(순)'!$A$3:$FB$3,0),0),0)</f>
        <v>0</v>
      </c>
      <c r="W17" s="185">
        <f t="shared" si="1"/>
        <v>0</v>
      </c>
      <c r="Z17" s="187"/>
    </row>
    <row r="18" spans="3:27" ht="16.5">
      <c r="C18" s="539"/>
      <c r="D18" s="289"/>
      <c r="E18" s="535">
        <f>SUMIF(E14:E17, "&gt;0")</f>
        <v>408</v>
      </c>
      <c r="F18" s="498"/>
      <c r="G18" s="528"/>
      <c r="H18" s="528"/>
      <c r="I18" s="535">
        <f>SUMIF(I14:I17, "&gt;0")</f>
        <v>350</v>
      </c>
      <c r="J18" s="498"/>
      <c r="K18" s="528"/>
      <c r="L18" s="528"/>
      <c r="M18" s="535">
        <f>SUMIF(M14:M17, "&gt;0")</f>
        <v>284</v>
      </c>
      <c r="N18" s="498"/>
      <c r="O18" s="528"/>
      <c r="P18" s="528"/>
      <c r="Q18" s="272">
        <f t="shared" si="0"/>
        <v>1042</v>
      </c>
      <c r="R18" s="196"/>
      <c r="S18" s="531"/>
      <c r="T18" s="528"/>
      <c r="U18" s="277">
        <f>IFERROR(R18-VLOOKUP(D18,'미니게임_DATA(순)'!$A:$FB,MATCH("rct 10g avg",'미니게임_DATA(순)'!$A$3:$FB$3,0),0),0)</f>
        <v>0</v>
      </c>
      <c r="V18" s="185"/>
      <c r="W18" s="185"/>
      <c r="Z18" s="187">
        <f>D18</f>
        <v>0</v>
      </c>
      <c r="AA18" s="187">
        <f>SUM(E18,I18)</f>
        <v>758</v>
      </c>
    </row>
    <row r="19" spans="3:27">
      <c r="C19" s="537" t="s">
        <v>146</v>
      </c>
      <c r="D19" s="180" t="s">
        <v>9</v>
      </c>
      <c r="E19" s="273">
        <f>IFERROR(VLOOKUP(D19,'미니게임_DATA(순)'!$A$5:$EV$38,98,0),0)</f>
        <v>164</v>
      </c>
      <c r="F19" s="273"/>
      <c r="G19" s="526">
        <f>RANK(E23,($E$18,$E$23,$E$28,$E$33,E$38))</f>
        <v>4</v>
      </c>
      <c r="H19" s="526">
        <f t="shared" ref="H19" si="4">G19</f>
        <v>4</v>
      </c>
      <c r="I19" s="299">
        <f>IFERROR(VLOOKUP(D19,'미니게임_DATA(순)'!$A$5:$EV$38,99,0),0)</f>
        <v>131</v>
      </c>
      <c r="J19" s="273"/>
      <c r="K19" s="526">
        <f>RANK(I23,($I$18,$I$23,$I$28,$I$33,I$38))</f>
        <v>4</v>
      </c>
      <c r="L19" s="526">
        <f>RANK(AA23,($AA$18,$AA$23,$AA$28,$AA$33,$AA$38))</f>
        <v>4</v>
      </c>
      <c r="M19" s="273">
        <f>IFERROR(VLOOKUP(D19,'미니게임_DATA(순)'!$A$5:$EV$38,100,0),0)</f>
        <v>140</v>
      </c>
      <c r="N19" s="273"/>
      <c r="O19" s="526">
        <f>RANK(M23,($M$18,$M$23,$M$28,$M$33,$M$38))</f>
        <v>4</v>
      </c>
      <c r="P19" s="526">
        <f t="shared" ref="P19" si="5">S19</f>
        <v>4</v>
      </c>
      <c r="Q19" s="273">
        <f t="shared" si="0"/>
        <v>435</v>
      </c>
      <c r="R19" s="301">
        <f>AVERAGE(E19,I19,M19)</f>
        <v>145</v>
      </c>
      <c r="S19" s="529">
        <f>RANK(Q23,($Q$18,$Q$23,$Q$28,$Q$33,$Q$38))</f>
        <v>4</v>
      </c>
      <c r="T19" s="532">
        <f>MAX($Q$18,$Q$23,Q$28,Q$33,Q$38)-Q23</f>
        <v>172</v>
      </c>
      <c r="U19" s="184">
        <f>IFERROR(R19-VLOOKUP(D19,'미니게임_DATA(순)'!$A:$FB,MATCH("rct 10g avg",'미니게임_DATA(순)'!$A$3:$FB$3,0),0),0)</f>
        <v>-16.199999999999989</v>
      </c>
      <c r="W19" s="185">
        <f t="shared" si="1"/>
        <v>164</v>
      </c>
      <c r="X19" s="267">
        <f>R19</f>
        <v>145</v>
      </c>
      <c r="Y19" s="267" t="str">
        <f>VLOOKUP(Z19,'미니게임_DATA(순)'!$A$4:$C$45,3,0)</f>
        <v>남</v>
      </c>
      <c r="Z19" s="187" t="str">
        <f>D19</f>
        <v>백동민</v>
      </c>
    </row>
    <row r="20" spans="3:27">
      <c r="C20" s="538"/>
      <c r="D20" s="188" t="s">
        <v>17</v>
      </c>
      <c r="E20" s="302">
        <f>IFERROR(VLOOKUP(D20,'미니게임_DATA(순)'!$A$5:$EV$38,98,0),0)</f>
        <v>128</v>
      </c>
      <c r="F20" s="275"/>
      <c r="G20" s="527"/>
      <c r="H20" s="527"/>
      <c r="I20" s="275">
        <f>IFERROR(VLOOKUP(D20,'미니게임_DATA(순)'!$A$5:$EV$38,99,0),0)</f>
        <v>171</v>
      </c>
      <c r="J20" s="275"/>
      <c r="K20" s="527"/>
      <c r="L20" s="527"/>
      <c r="M20" s="302">
        <f>IFERROR(VLOOKUP(D20,'미니게임_DATA(순)'!$A$5:$EV$38,100,0),0)</f>
        <v>136</v>
      </c>
      <c r="N20" s="275"/>
      <c r="O20" s="527"/>
      <c r="P20" s="527"/>
      <c r="Q20" s="275">
        <f t="shared" si="0"/>
        <v>435</v>
      </c>
      <c r="R20" s="276">
        <f>AVERAGE(E20,I20,M20)</f>
        <v>145</v>
      </c>
      <c r="S20" s="530"/>
      <c r="T20" s="533"/>
      <c r="U20" s="190">
        <f>IFERROR(R20-VLOOKUP(D20,'미니게임_DATA(순)'!$A:$FB,MATCH("rct 10g avg",'미니게임_DATA(순)'!$A$3:$FB$3,0),0),0)</f>
        <v>-2.0999999999999943</v>
      </c>
      <c r="W20" s="185">
        <f t="shared" si="1"/>
        <v>171</v>
      </c>
      <c r="X20" s="267">
        <f>R20</f>
        <v>145</v>
      </c>
      <c r="Y20" s="267" t="str">
        <f>VLOOKUP(Z20,'미니게임_DATA(순)'!$A$4:$C$45,3,0)</f>
        <v>남</v>
      </c>
      <c r="Z20" s="187" t="str">
        <f>D20</f>
        <v>한희용</v>
      </c>
    </row>
    <row r="21" spans="3:27">
      <c r="C21" s="538"/>
      <c r="D21" s="188"/>
      <c r="E21" s="275">
        <f>IFERROR(VLOOKUP(D21,'미니게임_DATA(순)'!$A$5:$EV$38,92,0),0)</f>
        <v>0</v>
      </c>
      <c r="F21" s="275"/>
      <c r="G21" s="527"/>
      <c r="H21" s="527"/>
      <c r="I21" s="275">
        <f>IFERROR(VLOOKUP(D21,'미니게임_DATA(순)'!$A$5:$EV$38,93,0),0)</f>
        <v>0</v>
      </c>
      <c r="J21" s="275"/>
      <c r="K21" s="527"/>
      <c r="L21" s="527"/>
      <c r="M21" s="275">
        <f>IFERROR(VLOOKUP(D21,'미니게임_DATA(순)'!$A$5:$EV$38,94,0),0)</f>
        <v>0</v>
      </c>
      <c r="N21" s="275"/>
      <c r="O21" s="527"/>
      <c r="P21" s="527"/>
      <c r="Q21" s="275">
        <f t="shared" si="0"/>
        <v>0</v>
      </c>
      <c r="R21" s="300">
        <f>IFERROR(VLOOKUP(D21,'미니게임_DATA(순)'!$EW$5:$EW$41,2,0),0)</f>
        <v>0</v>
      </c>
      <c r="S21" s="530"/>
      <c r="T21" s="533"/>
      <c r="U21" s="190">
        <f>IFERROR(R21-VLOOKUP(D21,'미니게임_DATA(순)'!$A:$FB,MATCH("rct 10g avg",'미니게임_DATA(순)'!$A$3:$FB$3,0),0),0)</f>
        <v>0</v>
      </c>
      <c r="W21" s="185">
        <f t="shared" si="1"/>
        <v>0</v>
      </c>
      <c r="X21" s="267">
        <f>R21</f>
        <v>0</v>
      </c>
      <c r="Z21" s="187">
        <f>D21</f>
        <v>0</v>
      </c>
    </row>
    <row r="22" spans="3:27">
      <c r="C22" s="538"/>
      <c r="D22" s="188"/>
      <c r="E22" s="279"/>
      <c r="F22" s="279"/>
      <c r="G22" s="527"/>
      <c r="H22" s="527"/>
      <c r="I22" s="279"/>
      <c r="J22" s="279"/>
      <c r="K22" s="527"/>
      <c r="L22" s="527"/>
      <c r="M22" s="279"/>
      <c r="N22" s="279"/>
      <c r="O22" s="527"/>
      <c r="P22" s="527"/>
      <c r="Q22" s="279">
        <f t="shared" si="0"/>
        <v>0</v>
      </c>
      <c r="R22" s="276">
        <f t="shared" ref="R22" si="6">Q22/3</f>
        <v>0</v>
      </c>
      <c r="S22" s="530"/>
      <c r="T22" s="533"/>
      <c r="U22" s="190">
        <f>IFERROR(R22-VLOOKUP(D22,'미니게임_DATA(순)'!$A:$FB,MATCH("rct 10g avg",'미니게임_DATA(순)'!$A$3:$FB$3,0),0),0)</f>
        <v>0</v>
      </c>
      <c r="W22" s="185">
        <f t="shared" si="1"/>
        <v>0</v>
      </c>
      <c r="Z22" s="187"/>
    </row>
    <row r="23" spans="3:27" ht="16.5">
      <c r="C23" s="539"/>
      <c r="D23" s="289"/>
      <c r="E23" s="535">
        <f>SUMIF(E19:F22, "&gt;0")</f>
        <v>292</v>
      </c>
      <c r="F23" s="498"/>
      <c r="G23" s="528"/>
      <c r="H23" s="528"/>
      <c r="I23" s="535">
        <f>SUMIF(I19:J22, "&gt;0")</f>
        <v>302</v>
      </c>
      <c r="J23" s="498"/>
      <c r="K23" s="528"/>
      <c r="L23" s="528"/>
      <c r="M23" s="535">
        <f>SUMIF(M19:N22, "&gt;0")</f>
        <v>276</v>
      </c>
      <c r="N23" s="498"/>
      <c r="O23" s="528"/>
      <c r="P23" s="528"/>
      <c r="Q23" s="272">
        <f t="shared" si="0"/>
        <v>870</v>
      </c>
      <c r="R23" s="196"/>
      <c r="S23" s="531"/>
      <c r="T23" s="534"/>
      <c r="U23" s="277">
        <f>IFERROR(R23-VLOOKUP(D23,'미니게임_DATA(순)'!$A:$FB,MATCH("rct 10g avg",'미니게임_DATA(순)'!$A$3:$FB$3,0),0),0)</f>
        <v>0</v>
      </c>
      <c r="V23" s="185"/>
      <c r="W23" s="185"/>
      <c r="Z23" s="187">
        <f>D23</f>
        <v>0</v>
      </c>
      <c r="AA23" s="187">
        <f>SUM(E23,I23)</f>
        <v>594</v>
      </c>
    </row>
    <row r="24" spans="3:27">
      <c r="C24" s="537" t="s">
        <v>147</v>
      </c>
      <c r="D24" s="180" t="s">
        <v>37</v>
      </c>
      <c r="E24" s="299">
        <f>IFERROR(VLOOKUP(D24,'미니게임_DATA(순)'!$A$5:$EV$38,98,0),0)</f>
        <v>0</v>
      </c>
      <c r="F24" s="273"/>
      <c r="G24" s="526">
        <f>RANK(E28,($E$18,$E$23,$E$28,$E$33,E$38))</f>
        <v>5</v>
      </c>
      <c r="H24" s="526">
        <f t="shared" ref="H24" si="7">G24</f>
        <v>5</v>
      </c>
      <c r="I24" s="273">
        <f>IFERROR(VLOOKUP(D24,'미니게임_DATA(순)'!$A$5:$EV$38,99,0),0)</f>
        <v>0</v>
      </c>
      <c r="J24" s="273"/>
      <c r="K24" s="526">
        <f>RANK(I28,($I$18,$I$23,$I$28,$I$33,I$38))</f>
        <v>5</v>
      </c>
      <c r="L24" s="526">
        <f>RANK(AA28,($AA$18,$AA$23,$AA$28,$AA$33,$AA$38))</f>
        <v>5</v>
      </c>
      <c r="M24" s="273">
        <f>IFERROR(VLOOKUP(D24,'미니게임_DATA(순)'!$A$5:$EV$38,100,0),0)</f>
        <v>0</v>
      </c>
      <c r="N24" s="273"/>
      <c r="O24" s="526">
        <f>RANK(M28,($M$18,$M$23,$M$28,$M$33,$M$38))</f>
        <v>5</v>
      </c>
      <c r="P24" s="526">
        <f t="shared" ref="P24" si="8">S24</f>
        <v>5</v>
      </c>
      <c r="Q24" s="273">
        <f t="shared" si="0"/>
        <v>0</v>
      </c>
      <c r="R24" s="301">
        <f>AVERAGE(E24,I24,M24)</f>
        <v>0</v>
      </c>
      <c r="S24" s="529">
        <f>RANK(Q28,($Q$18,$Q$23,$Q$28,$Q$33,$Q$38))</f>
        <v>5</v>
      </c>
      <c r="T24" s="532">
        <f>MAX($Q$18,$Q$23,Q$28,Q$33,Q$38)-Q28</f>
        <v>494</v>
      </c>
      <c r="U24" s="184">
        <f>IFERROR(R24-VLOOKUP(D24,'미니게임_DATA(순)'!$A:$FB,MATCH("rct 10g avg",'미니게임_DATA(순)'!$A$3:$FB$3,0),0),0)</f>
        <v>-166.4</v>
      </c>
      <c r="W24" s="185">
        <f t="shared" si="1"/>
        <v>0</v>
      </c>
      <c r="X24" s="267">
        <f>R24</f>
        <v>0</v>
      </c>
      <c r="Y24" s="267" t="str">
        <f>VLOOKUP(Z24,'미니게임_DATA(순)'!$A$4:$C$45,3,0)</f>
        <v>남</v>
      </c>
      <c r="Z24" s="187" t="str">
        <f>D24</f>
        <v>최은규</v>
      </c>
    </row>
    <row r="25" spans="3:27">
      <c r="C25" s="538"/>
      <c r="D25" s="188" t="s">
        <v>22</v>
      </c>
      <c r="E25" s="275">
        <f>IFERROR(VLOOKUP(D25,'미니게임_DATA(순)'!$A$5:$EV$38,98,0),0)</f>
        <v>181</v>
      </c>
      <c r="F25" s="275"/>
      <c r="G25" s="527"/>
      <c r="H25" s="527"/>
      <c r="I25" s="302">
        <f>IFERROR(VLOOKUP(D25,'미니게임_DATA(순)'!$A$5:$EV$38,99,0),0)</f>
        <v>197</v>
      </c>
      <c r="J25" s="275"/>
      <c r="K25" s="527"/>
      <c r="L25" s="527"/>
      <c r="M25" s="302">
        <f>IFERROR(VLOOKUP(D25,'미니게임_DATA(순)'!$A$5:$EV$38,100,0),0)</f>
        <v>170</v>
      </c>
      <c r="N25" s="275"/>
      <c r="O25" s="527"/>
      <c r="P25" s="527"/>
      <c r="Q25" s="275">
        <f t="shared" si="0"/>
        <v>548</v>
      </c>
      <c r="R25" s="276">
        <f>AVERAGE(E25,I25,M25)</f>
        <v>182.66666666666666</v>
      </c>
      <c r="S25" s="530"/>
      <c r="T25" s="533"/>
      <c r="U25" s="190">
        <f>IFERROR(R25-VLOOKUP(D25,'미니게임_DATA(순)'!$A:$FB,MATCH("rct 10g avg",'미니게임_DATA(순)'!$A$3:$FB$3,0),0),0)</f>
        <v>39.266666666666652</v>
      </c>
      <c r="W25" s="185">
        <f t="shared" si="1"/>
        <v>197</v>
      </c>
      <c r="X25" s="267">
        <f>R25</f>
        <v>182.66666666666666</v>
      </c>
      <c r="Y25" s="267" t="str">
        <f>VLOOKUP(Z25,'미니게임_DATA(순)'!$A$4:$C$45,3,0)</f>
        <v>남</v>
      </c>
      <c r="Z25" s="187" t="str">
        <f>D25</f>
        <v>이강은</v>
      </c>
    </row>
    <row r="26" spans="3:27">
      <c r="C26" s="538"/>
      <c r="D26" s="188"/>
      <c r="E26" s="275">
        <f>IFERROR(VLOOKUP(D26,'미니게임_DATA(순)'!$A$5:$EV$38,92,0),0)</f>
        <v>0</v>
      </c>
      <c r="F26" s="275"/>
      <c r="G26" s="527"/>
      <c r="H26" s="527"/>
      <c r="I26" s="275">
        <f>IFERROR(VLOOKUP(D26,'미니게임_DATA(순)'!$A$5:$EV$38,93,0),0)</f>
        <v>0</v>
      </c>
      <c r="J26" s="275"/>
      <c r="K26" s="527"/>
      <c r="L26" s="527"/>
      <c r="M26" s="275">
        <f>IFERROR(VLOOKUP(D26,'미니게임_DATA(순)'!$A$5:$EV$38,94,0),0)</f>
        <v>0</v>
      </c>
      <c r="N26" s="275"/>
      <c r="O26" s="527"/>
      <c r="P26" s="527"/>
      <c r="Q26" s="275">
        <f t="shared" si="0"/>
        <v>0</v>
      </c>
      <c r="R26" s="300">
        <f>IFERROR(VLOOKUP(D26,'미니게임_DATA(순)'!$EW$5:$EW$41,2,0),0)</f>
        <v>0</v>
      </c>
      <c r="S26" s="530"/>
      <c r="T26" s="533"/>
      <c r="U26" s="190">
        <f>IFERROR(R26-VLOOKUP(D26,'미니게임_DATA(순)'!$A:$FB,MATCH("rct 10g avg",'미니게임_DATA(순)'!$A$3:$FB$3,0),0),0)</f>
        <v>0</v>
      </c>
      <c r="W26" s="185">
        <f t="shared" si="1"/>
        <v>0</v>
      </c>
      <c r="X26" s="267">
        <f>R26</f>
        <v>0</v>
      </c>
      <c r="Z26" s="187">
        <f>D26</f>
        <v>0</v>
      </c>
    </row>
    <row r="27" spans="3:27">
      <c r="C27" s="538"/>
      <c r="D27" s="188"/>
      <c r="E27" s="279">
        <f>IFERROR(VLOOKUP(D27,미니게임_DATA!$A:$GT,6,0),0)</f>
        <v>0</v>
      </c>
      <c r="F27" s="279"/>
      <c r="G27" s="527"/>
      <c r="H27" s="527"/>
      <c r="I27" s="279">
        <f>IFERROR(VLOOKUP(D27,미니게임_DATA!$A:$GT,7,0),0)</f>
        <v>0</v>
      </c>
      <c r="J27" s="279"/>
      <c r="K27" s="527"/>
      <c r="L27" s="527"/>
      <c r="M27" s="279">
        <f>IFERROR(VLOOKUP(D27,미니게임_DATA!$A:$GT,8,0),0)</f>
        <v>0</v>
      </c>
      <c r="N27" s="279"/>
      <c r="O27" s="527"/>
      <c r="P27" s="527"/>
      <c r="Q27" s="279">
        <f t="shared" si="0"/>
        <v>0</v>
      </c>
      <c r="R27" s="276">
        <f t="shared" ref="R27" si="9">Q27/3</f>
        <v>0</v>
      </c>
      <c r="S27" s="530"/>
      <c r="T27" s="533"/>
      <c r="U27" s="190">
        <f>IFERROR(R27-VLOOKUP(D27,'미니게임_DATA(순)'!$A:$FB,MATCH("rct 10g avg",'미니게임_DATA(순)'!$A$3:$FB$3,0),0),0)</f>
        <v>0</v>
      </c>
      <c r="W27" s="185">
        <f t="shared" si="1"/>
        <v>0</v>
      </c>
      <c r="Z27" s="187"/>
    </row>
    <row r="28" spans="3:27" ht="16.5">
      <c r="C28" s="539"/>
      <c r="D28" s="289"/>
      <c r="E28" s="535">
        <f>SUMIF(E24:F27, "&gt;0")</f>
        <v>181</v>
      </c>
      <c r="F28" s="498"/>
      <c r="G28" s="528"/>
      <c r="H28" s="528"/>
      <c r="I28" s="535">
        <f>SUMIF(I24:J27, "&gt;0")</f>
        <v>197</v>
      </c>
      <c r="J28" s="498"/>
      <c r="K28" s="528"/>
      <c r="L28" s="528"/>
      <c r="M28" s="535">
        <f>SUMIF(M24:N27, "&gt;0")</f>
        <v>170</v>
      </c>
      <c r="N28" s="498"/>
      <c r="O28" s="528"/>
      <c r="P28" s="528"/>
      <c r="Q28" s="272">
        <f t="shared" si="0"/>
        <v>548</v>
      </c>
      <c r="R28" s="196"/>
      <c r="S28" s="531"/>
      <c r="T28" s="534"/>
      <c r="U28" s="277">
        <f>IFERROR(R28-VLOOKUP(D28,'미니게임_DATA(순)'!$A:$FB,MATCH("rct 10g avg",'미니게임_DATA(순)'!$A$3:$FB$3,0),0),0)</f>
        <v>0</v>
      </c>
      <c r="V28" s="185"/>
      <c r="W28" s="185"/>
      <c r="Z28" s="187">
        <f>D28</f>
        <v>0</v>
      </c>
      <c r="AA28" s="187">
        <f>SUM(E28,I28)</f>
        <v>378</v>
      </c>
    </row>
    <row r="29" spans="3:27">
      <c r="C29" s="537" t="s">
        <v>148</v>
      </c>
      <c r="D29" s="180" t="s">
        <v>38</v>
      </c>
      <c r="E29" s="299">
        <f>IFERROR(VLOOKUP(D29,'미니게임_DATA(순)'!$A$5:$EV$38,98,0),0)</f>
        <v>179</v>
      </c>
      <c r="F29" s="273"/>
      <c r="G29" s="526">
        <f>RANK(E33,($E$18,$E$23,$E$28,$E$33,$E$38))</f>
        <v>3</v>
      </c>
      <c r="H29" s="526">
        <f t="shared" ref="H29" si="10">G29</f>
        <v>3</v>
      </c>
      <c r="I29" s="273">
        <f>IFERROR(VLOOKUP(D29,'미니게임_DATA(순)'!$A$5:$EV$38,99,0),0)</f>
        <v>160</v>
      </c>
      <c r="J29" s="273"/>
      <c r="K29" s="526">
        <f>RANK(I33,($I$18,$I$23,$I$28,$I$33,I$38))</f>
        <v>3</v>
      </c>
      <c r="L29" s="526">
        <f>RANK(AA33,($AA$18,$AA$23,$AA$28,$AA$33,$AA$38))</f>
        <v>3</v>
      </c>
      <c r="M29" s="299">
        <f>IFERROR(VLOOKUP(D29,'미니게임_DATA(순)'!$A$5:$EV$38,100,0),0)</f>
        <v>178</v>
      </c>
      <c r="N29" s="273"/>
      <c r="O29" s="526">
        <f>RANK(M33,($M$18,$M$23,$M$28,$M$33,$M$38))</f>
        <v>1</v>
      </c>
      <c r="P29" s="526">
        <f t="shared" ref="P29" si="11">S29</f>
        <v>3</v>
      </c>
      <c r="Q29" s="273">
        <f t="shared" si="0"/>
        <v>517</v>
      </c>
      <c r="R29" s="301">
        <f>AVERAGE(E29,I29,M29)</f>
        <v>172.33333333333334</v>
      </c>
      <c r="S29" s="529">
        <f>RANK(Q33,($Q$18,$Q$23,$Q$28,$Q$33,$Q$38))</f>
        <v>3</v>
      </c>
      <c r="T29" s="532">
        <f>MAX($Q$18,$Q$23,Q$28,Q$33,Q$38)-Q33</f>
        <v>36</v>
      </c>
      <c r="U29" s="184">
        <f>IFERROR(R29-VLOOKUP(D29,'미니게임_DATA(순)'!$A:$FB,MATCH("rct 10g avg",'미니게임_DATA(순)'!$A$3:$FB$3,0),0),0)</f>
        <v>10.633333333333354</v>
      </c>
      <c r="W29" s="185">
        <f t="shared" si="1"/>
        <v>179</v>
      </c>
      <c r="X29" s="267">
        <f>R29</f>
        <v>172.33333333333334</v>
      </c>
      <c r="Y29" s="267" t="str">
        <f>VLOOKUP(Z29,'미니게임_DATA(순)'!$A$4:$C$45,3,0)</f>
        <v>남</v>
      </c>
      <c r="Z29" s="187" t="str">
        <f>D29</f>
        <v>이수용</v>
      </c>
    </row>
    <row r="30" spans="3:27">
      <c r="C30" s="538"/>
      <c r="D30" s="188" t="s">
        <v>14</v>
      </c>
      <c r="E30" s="275">
        <f>IFERROR(VLOOKUP(D30,'미니게임_DATA(순)'!$A$5:$EV$38,98,0),0)</f>
        <v>155</v>
      </c>
      <c r="F30" s="275"/>
      <c r="G30" s="527"/>
      <c r="H30" s="527"/>
      <c r="I30" s="302">
        <f>IFERROR(VLOOKUP(D30,'미니게임_DATA(순)'!$A$5:$EV$38,99,0),0)</f>
        <v>162</v>
      </c>
      <c r="J30" s="275"/>
      <c r="K30" s="527"/>
      <c r="L30" s="527"/>
      <c r="M30" s="275">
        <f>IFERROR(VLOOKUP(D30,'미니게임_DATA(순)'!$A$5:$EV$38,100,0),0)</f>
        <v>172</v>
      </c>
      <c r="N30" s="275"/>
      <c r="O30" s="527"/>
      <c r="P30" s="527"/>
      <c r="Q30" s="275">
        <f t="shared" si="0"/>
        <v>489</v>
      </c>
      <c r="R30" s="276">
        <f>AVERAGE(E30,I30,M30)</f>
        <v>163</v>
      </c>
      <c r="S30" s="530"/>
      <c r="T30" s="533"/>
      <c r="U30" s="190">
        <f>IFERROR(R30-VLOOKUP(D30,'미니게임_DATA(순)'!$A:$FB,MATCH("rct 10g avg",'미니게임_DATA(순)'!$A$3:$FB$3,0),0),0)</f>
        <v>0.80000000000001137</v>
      </c>
      <c r="W30" s="185">
        <f t="shared" si="1"/>
        <v>172</v>
      </c>
      <c r="X30" s="267">
        <f>R30</f>
        <v>163</v>
      </c>
      <c r="Y30" s="267" t="str">
        <f>VLOOKUP(Z30,'미니게임_DATA(순)'!$A$4:$C$45,3,0)</f>
        <v>남</v>
      </c>
      <c r="Z30" s="187" t="str">
        <f>D30</f>
        <v>채승엽</v>
      </c>
    </row>
    <row r="31" spans="3:27">
      <c r="C31" s="538"/>
      <c r="D31" s="188"/>
      <c r="E31" s="275">
        <f>IFERROR(VLOOKUP(D31,'미니게임_DATA(순)'!$A$5:$EV$38,92,0),0)</f>
        <v>0</v>
      </c>
      <c r="F31" s="275"/>
      <c r="G31" s="527"/>
      <c r="H31" s="527"/>
      <c r="I31" s="275">
        <f>IFERROR(VLOOKUP(D31,'미니게임_DATA(순)'!$A$5:$EV$38,93,0),0)</f>
        <v>0</v>
      </c>
      <c r="J31" s="275"/>
      <c r="K31" s="527"/>
      <c r="L31" s="527"/>
      <c r="M31" s="275">
        <f>IFERROR(VLOOKUP(D31,'미니게임_DATA(순)'!$A$5:$EV$38,94,0),0)</f>
        <v>0</v>
      </c>
      <c r="N31" s="275"/>
      <c r="O31" s="527"/>
      <c r="P31" s="527"/>
      <c r="Q31" s="275">
        <f t="shared" si="0"/>
        <v>0</v>
      </c>
      <c r="R31" s="300">
        <f>IFERROR(VLOOKUP(D31,'미니게임_DATA(순)'!$EW$5:$EW$41,2,0),0)</f>
        <v>0</v>
      </c>
      <c r="S31" s="530"/>
      <c r="T31" s="533"/>
      <c r="U31" s="190">
        <f>IFERROR(R31-VLOOKUP(D31,'미니게임_DATA(순)'!$A:$FB,MATCH("rct 10g avg",'미니게임_DATA(순)'!$A$3:$FB$3,0),0),0)</f>
        <v>0</v>
      </c>
      <c r="W31" s="185">
        <f t="shared" si="1"/>
        <v>0</v>
      </c>
      <c r="X31" s="267">
        <f>R31</f>
        <v>0</v>
      </c>
      <c r="Z31" s="187">
        <f>D31</f>
        <v>0</v>
      </c>
    </row>
    <row r="32" spans="3:27">
      <c r="C32" s="538"/>
      <c r="D32" s="188"/>
      <c r="E32" s="279"/>
      <c r="F32" s="279"/>
      <c r="G32" s="527"/>
      <c r="H32" s="527"/>
      <c r="I32" s="279"/>
      <c r="J32" s="279"/>
      <c r="K32" s="527"/>
      <c r="L32" s="527"/>
      <c r="M32" s="279">
        <f>IFERROR(VLOOKUP(D32,'미니게임_DATA(순)'!$A$5:$BU$38,73,0),0)</f>
        <v>0</v>
      </c>
      <c r="N32" s="279"/>
      <c r="O32" s="527"/>
      <c r="P32" s="527"/>
      <c r="Q32" s="279">
        <f t="shared" si="0"/>
        <v>0</v>
      </c>
      <c r="R32" s="276">
        <f t="shared" ref="R32" si="12">Q32/3</f>
        <v>0</v>
      </c>
      <c r="S32" s="530"/>
      <c r="T32" s="533"/>
      <c r="U32" s="190">
        <f>IFERROR(R32-VLOOKUP(D32,'미니게임_DATA(순)'!$A:$FB,MATCH("rct 10g avg",'미니게임_DATA(순)'!$A$3:$FB$3,0),0),0)</f>
        <v>0</v>
      </c>
      <c r="W32" s="185">
        <f t="shared" si="1"/>
        <v>0</v>
      </c>
      <c r="Z32" s="187"/>
    </row>
    <row r="33" spans="2:28" ht="16.5">
      <c r="C33" s="539"/>
      <c r="D33" s="289"/>
      <c r="E33" s="535">
        <f t="shared" ref="E33" si="13">SUMIF(E29:E32, "&gt;0")</f>
        <v>334</v>
      </c>
      <c r="F33" s="498"/>
      <c r="G33" s="528"/>
      <c r="H33" s="528"/>
      <c r="I33" s="535">
        <f t="shared" ref="I33" si="14">SUMIF(I29:I32, "&gt;0")</f>
        <v>322</v>
      </c>
      <c r="J33" s="498"/>
      <c r="K33" s="528"/>
      <c r="L33" s="528"/>
      <c r="M33" s="535">
        <f>SUMIF(M29:M32, "&gt;0")</f>
        <v>350</v>
      </c>
      <c r="N33" s="498"/>
      <c r="O33" s="528"/>
      <c r="P33" s="528"/>
      <c r="Q33" s="272">
        <f t="shared" si="0"/>
        <v>1006</v>
      </c>
      <c r="R33" s="196"/>
      <c r="S33" s="531"/>
      <c r="T33" s="534"/>
      <c r="U33" s="277">
        <f>IFERROR(R33-VLOOKUP(D33,'미니게임_DATA(순)'!$A:$FB,MATCH("rct 10g avg",'미니게임_DATA(순)'!$A$3:$FB$3,0),0),0)</f>
        <v>0</v>
      </c>
      <c r="V33" s="185"/>
      <c r="W33" s="185"/>
      <c r="Z33" s="187">
        <f>D33</f>
        <v>0</v>
      </c>
      <c r="AA33" s="187">
        <f>SUM(E33,I33)</f>
        <v>656</v>
      </c>
    </row>
    <row r="34" spans="2:28">
      <c r="C34" s="537" t="s">
        <v>149</v>
      </c>
      <c r="D34" s="180" t="s">
        <v>8</v>
      </c>
      <c r="E34" s="299">
        <f>IFERROR(VLOOKUP(D34,'미니게임_DATA(순)'!$A$4:$EV$45,98,0),0)</f>
        <v>189</v>
      </c>
      <c r="F34" s="273"/>
      <c r="G34" s="526">
        <f>RANK(E38,($E$18,$E$23,$E$28,$E$33,$E$38))</f>
        <v>2</v>
      </c>
      <c r="H34" s="526">
        <f t="shared" ref="H34" si="15">G34</f>
        <v>2</v>
      </c>
      <c r="I34" s="299">
        <f>IFERROR(VLOOKUP(D34,'미니게임_DATA(순)'!$A$4:$EV$45,99,0),0)</f>
        <v>234</v>
      </c>
      <c r="J34" s="273"/>
      <c r="K34" s="526">
        <f>RANK(I38,($I$18,$I$23,$I$28,$I$33,I$38))</f>
        <v>1</v>
      </c>
      <c r="L34" s="526">
        <f>RANK(AA38,($AA$18,$AA$23,$AA$28,$AA$33,$AA$38))</f>
        <v>2</v>
      </c>
      <c r="M34" s="273">
        <f>IFERROR(VLOOKUP(D34,'미니게임_DATA(순)'!$A4:$EV$45,100,0),0)</f>
        <v>172</v>
      </c>
      <c r="N34" s="273"/>
      <c r="O34" s="526">
        <f>RANK(M38,($M$18,$M$23,$M$28,$M$33,$M$38))</f>
        <v>2</v>
      </c>
      <c r="P34" s="526">
        <f t="shared" ref="P34" si="16">S34</f>
        <v>2</v>
      </c>
      <c r="Q34" s="273">
        <f t="shared" si="0"/>
        <v>595</v>
      </c>
      <c r="R34" s="301">
        <f>AVERAGE(E34,I34,M34)</f>
        <v>198.33333333333334</v>
      </c>
      <c r="S34" s="529">
        <f>RANK(Q38,($Q$18,$Q$23,$Q$28,$Q$33,$Q$38))</f>
        <v>2</v>
      </c>
      <c r="T34" s="532">
        <f>MAX($Q$18,$Q$23,Q$28,Q$33,Q$38)-Q38</f>
        <v>22</v>
      </c>
      <c r="U34" s="184">
        <f>IFERROR(R34-VLOOKUP(D34,'미니게임_DATA(순)'!$A:$FB,MATCH("rct 10g avg",'미니게임_DATA(순)'!$A$3:$FB$3,0),0),0)</f>
        <v>13.033333333333331</v>
      </c>
      <c r="W34" s="185">
        <f t="shared" si="1"/>
        <v>234</v>
      </c>
      <c r="X34" s="267">
        <f>R34</f>
        <v>198.33333333333334</v>
      </c>
      <c r="Y34" s="267" t="str">
        <f>VLOOKUP(Z34,'미니게임_DATA(순)'!$A$4:$C$45,3,0)</f>
        <v>남</v>
      </c>
      <c r="Z34" s="187" t="str">
        <f>D34</f>
        <v>조문수</v>
      </c>
    </row>
    <row r="35" spans="2:28" s="172" customFormat="1">
      <c r="B35" s="169"/>
      <c r="C35" s="538"/>
      <c r="D35" s="188" t="s">
        <v>281</v>
      </c>
      <c r="E35" s="275">
        <f>IFERROR(VLOOKUP(D35,'미니게임_DATA(순)'!$A$5:$EV$38,98,0),0)</f>
        <v>141</v>
      </c>
      <c r="F35" s="275">
        <v>8</v>
      </c>
      <c r="G35" s="527"/>
      <c r="H35" s="527"/>
      <c r="I35" s="275">
        <f>IFERROR(VLOOKUP(D35,'미니게임_DATA(순)'!$A$5:$EV$38,99,0),0)</f>
        <v>149</v>
      </c>
      <c r="J35" s="275">
        <v>8</v>
      </c>
      <c r="K35" s="527"/>
      <c r="L35" s="527"/>
      <c r="M35" s="302">
        <f>IFERROR(VLOOKUP(D35,'미니게임_DATA(순)'!$A$5:$EV$38,100,0),0)</f>
        <v>111</v>
      </c>
      <c r="N35" s="275">
        <v>8</v>
      </c>
      <c r="O35" s="527"/>
      <c r="P35" s="527"/>
      <c r="Q35" s="275">
        <f>E35+F35+I35+J35+M35+N35</f>
        <v>425</v>
      </c>
      <c r="R35" s="276">
        <f>AVERAGE(E35,I35,M35)</f>
        <v>133.66666666666666</v>
      </c>
      <c r="S35" s="530"/>
      <c r="T35" s="533"/>
      <c r="U35" s="190">
        <f>IFERROR(R35-VLOOKUP(D35,'미니게임_DATA(순)'!$A:$FB,MATCH("rct 10g avg",'미니게임_DATA(순)'!$A$3:$FB$3,0),0),0)</f>
        <v>-35.433333333333337</v>
      </c>
      <c r="W35" s="185">
        <f t="shared" si="1"/>
        <v>149</v>
      </c>
      <c r="X35" s="267">
        <f>R35</f>
        <v>133.66666666666666</v>
      </c>
      <c r="Y35" s="267" t="str">
        <f>VLOOKUP(Z35,'미니게임_DATA(순)'!$A$4:$C$45,3,0)</f>
        <v>여</v>
      </c>
      <c r="Z35" s="187" t="str">
        <f>D35</f>
        <v>오수인</v>
      </c>
      <c r="AA35" s="169"/>
      <c r="AB35" s="169"/>
    </row>
    <row r="36" spans="2:28" s="172" customFormat="1">
      <c r="B36" s="169"/>
      <c r="C36" s="538"/>
      <c r="D36" s="188"/>
      <c r="E36" s="275"/>
      <c r="F36" s="275"/>
      <c r="G36" s="527"/>
      <c r="H36" s="527"/>
      <c r="I36" s="275"/>
      <c r="J36" s="275"/>
      <c r="K36" s="527"/>
      <c r="L36" s="527"/>
      <c r="M36" s="275"/>
      <c r="N36" s="275"/>
      <c r="O36" s="527"/>
      <c r="P36" s="527"/>
      <c r="Q36" s="275">
        <f t="shared" si="0"/>
        <v>0</v>
      </c>
      <c r="R36" s="300">
        <f>IFERROR(VLOOKUP(D36,'미니게임_DATA(순)'!$EW$5:$EW$41,2,0),0)</f>
        <v>0</v>
      </c>
      <c r="S36" s="530"/>
      <c r="T36" s="533"/>
      <c r="U36" s="190">
        <f>IFERROR(R36-VLOOKUP(D36,'미니게임_DATA(순)'!$A:$FB,MATCH("rct 10g avg",'미니게임_DATA(순)'!$A$3:$FB$3,0),0),0)</f>
        <v>0</v>
      </c>
      <c r="W36" s="185">
        <f t="shared" si="1"/>
        <v>0</v>
      </c>
      <c r="X36" s="267">
        <f>R36</f>
        <v>0</v>
      </c>
      <c r="Y36" s="267"/>
      <c r="Z36" s="187">
        <f>D36</f>
        <v>0</v>
      </c>
      <c r="AA36" s="169"/>
      <c r="AB36" s="169"/>
    </row>
    <row r="37" spans="2:28">
      <c r="C37" s="538"/>
      <c r="D37" s="188"/>
      <c r="E37" s="279"/>
      <c r="F37" s="279"/>
      <c r="G37" s="527"/>
      <c r="H37" s="527"/>
      <c r="I37" s="279"/>
      <c r="J37" s="279"/>
      <c r="K37" s="527"/>
      <c r="L37" s="527"/>
      <c r="M37" s="279"/>
      <c r="N37" s="279"/>
      <c r="O37" s="527"/>
      <c r="P37" s="527"/>
      <c r="Q37" s="279">
        <f t="shared" si="0"/>
        <v>0</v>
      </c>
      <c r="R37" s="276">
        <f t="shared" ref="R37" si="17">Q37/3</f>
        <v>0</v>
      </c>
      <c r="S37" s="530"/>
      <c r="T37" s="533"/>
      <c r="U37" s="190">
        <f>IFERROR(R37-VLOOKUP(D37,'미니게임_DATA(순)'!$A:$FB,MATCH("rct 10g avg",'미니게임_DATA(순)'!$A$3:$FB$3,0),0),0)</f>
        <v>0</v>
      </c>
      <c r="W37" s="185">
        <f t="shared" si="1"/>
        <v>0</v>
      </c>
      <c r="Z37" s="187"/>
    </row>
    <row r="38" spans="2:28" ht="16.5">
      <c r="C38" s="539"/>
      <c r="D38" s="289"/>
      <c r="E38" s="535">
        <f>SUMIF(E34:F37, "&gt;0")</f>
        <v>338</v>
      </c>
      <c r="F38" s="498"/>
      <c r="G38" s="528"/>
      <c r="H38" s="528"/>
      <c r="I38" s="535">
        <f>SUMIF(I34:J37, "&gt;0")</f>
        <v>391</v>
      </c>
      <c r="J38" s="498"/>
      <c r="K38" s="528"/>
      <c r="L38" s="528"/>
      <c r="M38" s="535">
        <f>SUMIF(M34:N37, "&gt;0")</f>
        <v>291</v>
      </c>
      <c r="N38" s="498"/>
      <c r="O38" s="528"/>
      <c r="P38" s="528"/>
      <c r="Q38" s="272">
        <f>E38+I38+M38</f>
        <v>1020</v>
      </c>
      <c r="R38" s="278"/>
      <c r="S38" s="531"/>
      <c r="T38" s="534"/>
      <c r="U38" s="277">
        <f>IFERROR(R38-VLOOKUP(D38,'미니게임_DATA(순)'!$A:$FB,MATCH("rct 10g avg",'미니게임_DATA(순)'!$A$3:$FB$3,0),0),0)</f>
        <v>0</v>
      </c>
      <c r="V38" s="185"/>
      <c r="W38" s="185"/>
      <c r="Z38" s="187">
        <f>D38</f>
        <v>0</v>
      </c>
      <c r="AA38" s="187">
        <f>SUM(E38,I38)</f>
        <v>729</v>
      </c>
    </row>
  </sheetData>
  <mergeCells count="77">
    <mergeCell ref="P34:P38"/>
    <mergeCell ref="S34:S38"/>
    <mergeCell ref="T34:T38"/>
    <mergeCell ref="E38:F38"/>
    <mergeCell ref="I38:J38"/>
    <mergeCell ref="M38:N38"/>
    <mergeCell ref="O34:O38"/>
    <mergeCell ref="C34:C38"/>
    <mergeCell ref="G34:G38"/>
    <mergeCell ref="H34:H38"/>
    <mergeCell ref="K34:K38"/>
    <mergeCell ref="L34:L38"/>
    <mergeCell ref="P29:P33"/>
    <mergeCell ref="S29:S33"/>
    <mergeCell ref="T29:T33"/>
    <mergeCell ref="E33:F33"/>
    <mergeCell ref="I33:J33"/>
    <mergeCell ref="M33:N33"/>
    <mergeCell ref="O29:O33"/>
    <mergeCell ref="C29:C33"/>
    <mergeCell ref="G29:G33"/>
    <mergeCell ref="H29:H33"/>
    <mergeCell ref="K29:K33"/>
    <mergeCell ref="L29:L33"/>
    <mergeCell ref="P24:P28"/>
    <mergeCell ref="S24:S28"/>
    <mergeCell ref="T24:T28"/>
    <mergeCell ref="E28:F28"/>
    <mergeCell ref="I28:J28"/>
    <mergeCell ref="M28:N28"/>
    <mergeCell ref="O24:O28"/>
    <mergeCell ref="C24:C28"/>
    <mergeCell ref="G24:G28"/>
    <mergeCell ref="H24:H28"/>
    <mergeCell ref="K24:K28"/>
    <mergeCell ref="L24:L28"/>
    <mergeCell ref="P19:P23"/>
    <mergeCell ref="S19:S23"/>
    <mergeCell ref="T19:T23"/>
    <mergeCell ref="E23:F23"/>
    <mergeCell ref="I23:J23"/>
    <mergeCell ref="M23:N23"/>
    <mergeCell ref="O19:O23"/>
    <mergeCell ref="C19:C23"/>
    <mergeCell ref="G19:G23"/>
    <mergeCell ref="H19:H23"/>
    <mergeCell ref="K19:K23"/>
    <mergeCell ref="L19:L23"/>
    <mergeCell ref="P14:P18"/>
    <mergeCell ref="S14:S18"/>
    <mergeCell ref="T14:T18"/>
    <mergeCell ref="E18:F18"/>
    <mergeCell ref="I18:J18"/>
    <mergeCell ref="M18:N18"/>
    <mergeCell ref="U11:U13"/>
    <mergeCell ref="E12:H12"/>
    <mergeCell ref="I12:L12"/>
    <mergeCell ref="M12:P12"/>
    <mergeCell ref="C14:C18"/>
    <mergeCell ref="G14:G18"/>
    <mergeCell ref="H14:H18"/>
    <mergeCell ref="K14:K18"/>
    <mergeCell ref="L14:L18"/>
    <mergeCell ref="O14:O18"/>
    <mergeCell ref="C11:C13"/>
    <mergeCell ref="D11:D13"/>
    <mergeCell ref="E11:P11"/>
    <mergeCell ref="Q11:Q13"/>
    <mergeCell ref="R11:R13"/>
    <mergeCell ref="S11:T12"/>
    <mergeCell ref="B2:B3"/>
    <mergeCell ref="B4:B5"/>
    <mergeCell ref="B6:B9"/>
    <mergeCell ref="D6:E6"/>
    <mergeCell ref="D7:E7"/>
    <mergeCell ref="D8:E8"/>
    <mergeCell ref="D9:E9"/>
  </mergeCells>
  <phoneticPr fontId="2" type="noConversion"/>
  <conditionalFormatting sqref="G39:H1048576 O39:P1048576 K39:L1048576 O12:P13 G1:H13 K1:L13 O1:P10">
    <cfRule type="cellIs" dxfId="133" priority="9" operator="equal">
      <formula>1</formula>
    </cfRule>
  </conditionalFormatting>
  <conditionalFormatting sqref="P14:P38">
    <cfRule type="cellIs" dxfId="132" priority="7" operator="equal">
      <formula>1</formula>
    </cfRule>
  </conditionalFormatting>
  <conditionalFormatting sqref="G14:H14 G19:H19 H15:H18 G29:H29 H25:H28 G24:H24 H20:H23 H30:H33">
    <cfRule type="cellIs" dxfId="131" priority="8" operator="equal">
      <formula>1</formula>
    </cfRule>
  </conditionalFormatting>
  <conditionalFormatting sqref="K14:L14 K19 K29 K24 L15:L38">
    <cfRule type="cellIs" dxfId="130" priority="6" operator="equal">
      <formula>1</formula>
    </cfRule>
  </conditionalFormatting>
  <conditionalFormatting sqref="O14 O19 O29 O24">
    <cfRule type="cellIs" dxfId="129" priority="5" operator="equal">
      <formula>1</formula>
    </cfRule>
  </conditionalFormatting>
  <conditionalFormatting sqref="G34">
    <cfRule type="cellIs" dxfId="128" priority="4" operator="equal">
      <formula>1</formula>
    </cfRule>
  </conditionalFormatting>
  <conditionalFormatting sqref="H34:H38">
    <cfRule type="cellIs" dxfId="127" priority="3" operator="equal">
      <formula>1</formula>
    </cfRule>
  </conditionalFormatting>
  <conditionalFormatting sqref="K34">
    <cfRule type="cellIs" dxfId="126" priority="2" operator="equal">
      <formula>1</formula>
    </cfRule>
  </conditionalFormatting>
  <conditionalFormatting sqref="O34">
    <cfRule type="cellIs" dxfId="125" priority="1" operator="equal">
      <formula>1</formula>
    </cfRule>
  </conditionalFormatting>
  <pageMargins left="0.7" right="0.7" top="0.75" bottom="0.75" header="0.3" footer="0.3"/>
  <pageSetup paperSize="9" orientation="portrait" r:id="rId1"/>
  <ignoredErrors>
    <ignoredError sqref="Q35" formula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9"/>
  <sheetViews>
    <sheetView showGridLines="0" zoomScale="85" zoomScaleNormal="85" workbookViewId="0">
      <selection activeCell="AN38" sqref="AN38"/>
    </sheetView>
  </sheetViews>
  <sheetFormatPr defaultColWidth="9" defaultRowHeight="13.5"/>
  <cols>
    <col min="1" max="5" width="9" style="169"/>
    <col min="6" max="6" width="5" style="169" bestFit="1" customWidth="1"/>
    <col min="7" max="8" width="5.375" style="169" customWidth="1"/>
    <col min="9" max="9" width="9" style="169"/>
    <col min="10" max="10" width="5" style="169" bestFit="1" customWidth="1"/>
    <col min="11" max="12" width="5.375" style="169" customWidth="1"/>
    <col min="13" max="13" width="9" style="169"/>
    <col min="14" max="14" width="5" style="169" bestFit="1" customWidth="1"/>
    <col min="15" max="16" width="5.375" style="169" customWidth="1"/>
    <col min="17" max="17" width="9" style="170"/>
    <col min="18" max="18" width="9.375" style="171" bestFit="1" customWidth="1"/>
    <col min="19" max="21" width="9" style="169"/>
    <col min="22" max="23" width="9" style="172" hidden="1" customWidth="1"/>
    <col min="24" max="25" width="9" style="267" hidden="1" customWidth="1"/>
    <col min="26" max="28" width="9" style="169" hidden="1" customWidth="1"/>
    <col min="29" max="16384" width="9" style="169"/>
  </cols>
  <sheetData>
    <row r="2" spans="2:28">
      <c r="B2" s="550" t="s">
        <v>154</v>
      </c>
      <c r="C2" s="166" t="s">
        <v>156</v>
      </c>
      <c r="D2" s="167" t="str">
        <f>VLOOKUP(E2,W15:Z38,4,0)</f>
        <v>백동민</v>
      </c>
      <c r="E2" s="168">
        <f t="array" ref="E2">MAX(IF('미니게임_DATA(순)'!$C$5:$C$41="남",'미니게임_DATA(순)'!$CQ$5:$CS$41))</f>
        <v>187</v>
      </c>
      <c r="F2" s="268"/>
    </row>
    <row r="3" spans="2:28">
      <c r="B3" s="551"/>
      <c r="C3" s="166" t="s">
        <v>157</v>
      </c>
      <c r="D3" s="287" t="s">
        <v>239</v>
      </c>
      <c r="E3" s="288" t="s">
        <v>239</v>
      </c>
      <c r="F3" s="268"/>
    </row>
    <row r="4" spans="2:28">
      <c r="B4" s="550" t="s">
        <v>158</v>
      </c>
      <c r="C4" s="166" t="s">
        <v>156</v>
      </c>
      <c r="D4" s="167" t="str">
        <f>VLOOKUP(E4,X15:Z39,3,0)</f>
        <v>조문수</v>
      </c>
      <c r="E4" s="168">
        <f t="array" ref="E4">MAX(IF(Y14:Y38="남",X14:X38))</f>
        <v>176.66666666666666</v>
      </c>
      <c r="F4" s="268"/>
    </row>
    <row r="5" spans="2:28">
      <c r="B5" s="551"/>
      <c r="C5" s="166" t="s">
        <v>157</v>
      </c>
      <c r="D5" s="287" t="s">
        <v>239</v>
      </c>
      <c r="E5" s="288" t="s">
        <v>239</v>
      </c>
      <c r="F5" s="268"/>
    </row>
    <row r="6" spans="2:28" ht="16.5">
      <c r="B6" s="550" t="s">
        <v>224</v>
      </c>
      <c r="C6" s="235" t="s">
        <v>154</v>
      </c>
      <c r="D6" s="554" t="s">
        <v>239</v>
      </c>
      <c r="E6" s="472"/>
      <c r="F6" s="269"/>
    </row>
    <row r="7" spans="2:28" ht="16.5">
      <c r="B7" s="552"/>
      <c r="C7" s="235" t="s">
        <v>226</v>
      </c>
      <c r="D7" s="554" t="s">
        <v>239</v>
      </c>
      <c r="E7" s="472"/>
      <c r="F7" s="269"/>
    </row>
    <row r="8" spans="2:28" ht="16.5">
      <c r="B8" s="552"/>
      <c r="C8" s="235" t="s">
        <v>88</v>
      </c>
      <c r="D8" s="554"/>
      <c r="E8" s="498"/>
      <c r="F8" s="270"/>
    </row>
    <row r="9" spans="2:28" ht="16.5">
      <c r="B9" s="557"/>
      <c r="C9" s="235" t="s">
        <v>227</v>
      </c>
      <c r="D9" s="554" t="s">
        <v>239</v>
      </c>
      <c r="E9" s="472"/>
      <c r="F9" s="269"/>
    </row>
    <row r="10" spans="2:28" ht="16.5">
      <c r="B10" s="553"/>
      <c r="C10" s="166" t="s">
        <v>229</v>
      </c>
      <c r="D10" s="554" t="s">
        <v>239</v>
      </c>
      <c r="E10" s="472"/>
      <c r="F10" s="269"/>
    </row>
    <row r="12" spans="2:28" ht="16.5" customHeight="1">
      <c r="C12" s="543" t="s">
        <v>140</v>
      </c>
      <c r="D12" s="543" t="s">
        <v>3</v>
      </c>
      <c r="E12" s="544" t="s">
        <v>141</v>
      </c>
      <c r="F12" s="545"/>
      <c r="G12" s="545"/>
      <c r="H12" s="545"/>
      <c r="I12" s="545"/>
      <c r="J12" s="545"/>
      <c r="K12" s="545"/>
      <c r="L12" s="545"/>
      <c r="M12" s="545"/>
      <c r="N12" s="546"/>
      <c r="O12" s="546"/>
      <c r="P12" s="496"/>
      <c r="Q12" s="547" t="s">
        <v>142</v>
      </c>
      <c r="R12" s="548" t="s">
        <v>184</v>
      </c>
      <c r="S12" s="542" t="s">
        <v>169</v>
      </c>
      <c r="T12" s="542"/>
      <c r="U12" s="542" t="s">
        <v>143</v>
      </c>
    </row>
    <row r="13" spans="2:28">
      <c r="C13" s="543"/>
      <c r="D13" s="543"/>
      <c r="E13" s="543">
        <v>1</v>
      </c>
      <c r="F13" s="543"/>
      <c r="G13" s="543"/>
      <c r="H13" s="543"/>
      <c r="I13" s="543">
        <v>2</v>
      </c>
      <c r="J13" s="543"/>
      <c r="K13" s="543"/>
      <c r="L13" s="543"/>
      <c r="M13" s="543">
        <v>3</v>
      </c>
      <c r="N13" s="543"/>
      <c r="O13" s="543"/>
      <c r="P13" s="543"/>
      <c r="Q13" s="547"/>
      <c r="R13" s="549"/>
      <c r="S13" s="542"/>
      <c r="T13" s="542"/>
      <c r="U13" s="542"/>
      <c r="AB13" s="172"/>
    </row>
    <row r="14" spans="2:28" ht="27">
      <c r="C14" s="543"/>
      <c r="D14" s="543"/>
      <c r="E14" s="285" t="s">
        <v>150</v>
      </c>
      <c r="F14" s="284" t="s">
        <v>302</v>
      </c>
      <c r="G14" s="284" t="s">
        <v>152</v>
      </c>
      <c r="H14" s="284" t="s">
        <v>153</v>
      </c>
      <c r="I14" s="285" t="s">
        <v>150</v>
      </c>
      <c r="J14" s="284" t="s">
        <v>302</v>
      </c>
      <c r="K14" s="284" t="s">
        <v>152</v>
      </c>
      <c r="L14" s="284" t="s">
        <v>153</v>
      </c>
      <c r="M14" s="285" t="s">
        <v>150</v>
      </c>
      <c r="N14" s="284" t="s">
        <v>302</v>
      </c>
      <c r="O14" s="284" t="s">
        <v>152</v>
      </c>
      <c r="P14" s="284" t="s">
        <v>153</v>
      </c>
      <c r="Q14" s="547"/>
      <c r="R14" s="549"/>
      <c r="S14" s="284" t="s">
        <v>144</v>
      </c>
      <c r="T14" s="285" t="s">
        <v>168</v>
      </c>
      <c r="U14" s="543"/>
      <c r="W14" s="172" t="s">
        <v>170</v>
      </c>
      <c r="X14" s="267" t="s">
        <v>171</v>
      </c>
    </row>
    <row r="15" spans="2:28">
      <c r="C15" s="537" t="s">
        <v>145</v>
      </c>
      <c r="D15" s="180" t="s">
        <v>10</v>
      </c>
      <c r="E15" s="273">
        <f>IFERROR(VLOOKUP(D15,'미니게임_DATA(순)'!$A$5:$EV$38,95,0),0)</f>
        <v>148</v>
      </c>
      <c r="F15" s="273"/>
      <c r="G15" s="526">
        <f>RANK(E19,($E$19,$E$24,$E$29,$E$34,E$39))</f>
        <v>2</v>
      </c>
      <c r="H15" s="526">
        <f>G15</f>
        <v>2</v>
      </c>
      <c r="I15" s="273">
        <f>IFERROR(VLOOKUP(D15,'미니게임_DATA(순)'!$A$5:$EV$38,96,0),0)</f>
        <v>143</v>
      </c>
      <c r="J15" s="273"/>
      <c r="K15" s="526">
        <f>RANK(I19,($I$19,$I$24,$I$29,$I$34,I$39))</f>
        <v>2</v>
      </c>
      <c r="L15" s="526">
        <f>RANK(AA19,($AA$19,$AA$24,$AA$29,$AA$34,$AA$39))</f>
        <v>2</v>
      </c>
      <c r="M15" s="273">
        <f>IFERROR(VLOOKUP(D15,'미니게임_DATA(순)'!$A$5:$EV$38,97,0),0)</f>
        <v>157</v>
      </c>
      <c r="N15" s="273"/>
      <c r="O15" s="526">
        <f>RANK(M19,($M$19,$M$24,$M$29,$M$34,$M$39))</f>
        <v>1</v>
      </c>
      <c r="P15" s="526">
        <f>S15</f>
        <v>2</v>
      </c>
      <c r="Q15" s="273">
        <f t="shared" ref="Q15:Q39" si="0">E15+I15+M15</f>
        <v>448</v>
      </c>
      <c r="R15" s="274">
        <f>AVERAGE(E15,I15,M15)</f>
        <v>149.33333333333334</v>
      </c>
      <c r="S15" s="529">
        <f>RANK(Q19,($Q$19,$Q$24,$Q$29,$Q$34,$Q$39))</f>
        <v>2</v>
      </c>
      <c r="T15" s="541">
        <f>MAX($Q$19,$Q$24,Q$29,Q$34,Q$39)-Q19</f>
        <v>1</v>
      </c>
      <c r="U15" s="184">
        <f>IFERROR(R15-VLOOKUP(D15,'미니게임_DATA(순)'!$A:$FB,MATCH("rct 10g avg",'미니게임_DATA(순)'!$A$3:$FB$3,0),0),0)</f>
        <v>-4.0666666666666629</v>
      </c>
      <c r="W15" s="185">
        <f t="array" ref="W15">MAX(IF('미니게임_DATA(순)'!$A$5:$A$41=Z15,'미니게임_DATA(순)'!$CQ$5:$CS$41))</f>
        <v>157</v>
      </c>
      <c r="X15" s="267">
        <f>R15</f>
        <v>149.33333333333334</v>
      </c>
      <c r="Y15" s="267" t="str">
        <f>VLOOKUP(Z15,'미니게임_DATA(순)'!$A$4:$C$45,3,0)</f>
        <v>남</v>
      </c>
      <c r="Z15" s="187" t="str">
        <f>D15</f>
        <v>김신철</v>
      </c>
    </row>
    <row r="16" spans="2:28">
      <c r="C16" s="538"/>
      <c r="D16" s="188" t="s">
        <v>221</v>
      </c>
      <c r="E16" s="273">
        <v>175</v>
      </c>
      <c r="F16" s="275"/>
      <c r="G16" s="527"/>
      <c r="H16" s="527"/>
      <c r="I16" s="275">
        <v>175</v>
      </c>
      <c r="J16" s="275"/>
      <c r="K16" s="527"/>
      <c r="L16" s="527"/>
      <c r="M16" s="273">
        <v>175</v>
      </c>
      <c r="N16" s="275"/>
      <c r="O16" s="527"/>
      <c r="P16" s="527"/>
      <c r="Q16" s="275">
        <f t="shared" si="0"/>
        <v>525</v>
      </c>
      <c r="R16" s="274">
        <v>0</v>
      </c>
      <c r="S16" s="530"/>
      <c r="T16" s="527"/>
      <c r="U16" s="190">
        <f>IFERROR(R16-VLOOKUP(D16,'미니게임_DATA(순)'!$A:$FB,MATCH("rct 10g avg",'미니게임_DATA(순)'!$A$3:$FB$3,0),0),0)</f>
        <v>0</v>
      </c>
      <c r="W16" s="185">
        <f t="array" ref="W16">MAX(IF('미니게임_DATA(순)'!$A$5:$A$41=Z16,'미니게임_DATA(순)'!$CQ$5:$CS$41))</f>
        <v>0</v>
      </c>
      <c r="X16" s="267">
        <f t="shared" ref="X16:X17" si="1">R16</f>
        <v>0</v>
      </c>
      <c r="Z16" s="187" t="str">
        <f>D16</f>
        <v>동수</v>
      </c>
    </row>
    <row r="17" spans="3:27">
      <c r="C17" s="538"/>
      <c r="D17" s="188"/>
      <c r="E17" s="275">
        <f>IFERROR(VLOOKUP(D17,'미니게임_DATA(순)'!$A$5:$EV$38,92,0),0)</f>
        <v>0</v>
      </c>
      <c r="F17" s="275"/>
      <c r="G17" s="527"/>
      <c r="H17" s="527"/>
      <c r="I17" s="275">
        <f>IFERROR(VLOOKUP(D17,'미니게임_DATA(순)'!$A$5:$EV$38,93,0),0)</f>
        <v>0</v>
      </c>
      <c r="J17" s="275"/>
      <c r="K17" s="527"/>
      <c r="L17" s="527"/>
      <c r="M17" s="275">
        <f>IFERROR(VLOOKUP(D17,'미니게임_DATA(순)'!$A$5:$EV$38,94,0),0)</f>
        <v>0</v>
      </c>
      <c r="N17" s="275"/>
      <c r="O17" s="527"/>
      <c r="P17" s="527"/>
      <c r="Q17" s="275">
        <f t="shared" si="0"/>
        <v>0</v>
      </c>
      <c r="R17" s="274"/>
      <c r="S17" s="530"/>
      <c r="T17" s="527"/>
      <c r="U17" s="190">
        <f>IFERROR(R17-VLOOKUP(D17,'미니게임_DATA(순)'!$A:$FB,MATCH("rct 10g avg",'미니게임_DATA(순)'!$A$3:$FB$3,0),0),0)</f>
        <v>0</v>
      </c>
      <c r="W17" s="185">
        <f t="array" ref="W17">MAX(IF('미니게임_DATA(순)'!$A$5:$A$41=Z17,'미니게임_DATA(순)'!$CN$5:$CP$41))</f>
        <v>0</v>
      </c>
      <c r="X17" s="267">
        <f t="shared" si="1"/>
        <v>0</v>
      </c>
      <c r="Z17" s="187">
        <f>D17</f>
        <v>0</v>
      </c>
    </row>
    <row r="18" spans="3:27">
      <c r="C18" s="538"/>
      <c r="D18" s="191"/>
      <c r="E18" s="279"/>
      <c r="F18" s="279"/>
      <c r="G18" s="527"/>
      <c r="H18" s="527"/>
      <c r="I18" s="279"/>
      <c r="J18" s="279"/>
      <c r="K18" s="527"/>
      <c r="L18" s="527"/>
      <c r="M18" s="279"/>
      <c r="N18" s="279"/>
      <c r="O18" s="527"/>
      <c r="P18" s="527"/>
      <c r="Q18" s="279">
        <f t="shared" si="0"/>
        <v>0</v>
      </c>
      <c r="R18" s="276">
        <f t="shared" ref="R18" si="2">Q18/3</f>
        <v>0</v>
      </c>
      <c r="S18" s="530"/>
      <c r="T18" s="527"/>
      <c r="U18" s="190">
        <f>IFERROR(R18-VLOOKUP(D18,'미니게임_DATA(순)'!$A:$FB,MATCH("rct 10g avg",'미니게임_DATA(순)'!$A$3:$FB$3,0),0),0)</f>
        <v>0</v>
      </c>
      <c r="W18" s="185"/>
      <c r="Z18" s="187"/>
    </row>
    <row r="19" spans="3:27" ht="16.5">
      <c r="C19" s="539"/>
      <c r="D19" s="283"/>
      <c r="E19" s="535">
        <f>SUMIF(E15:E18, "&gt;0")</f>
        <v>323</v>
      </c>
      <c r="F19" s="498"/>
      <c r="G19" s="528"/>
      <c r="H19" s="528"/>
      <c r="I19" s="535">
        <f>SUMIF(I15:I18, "&gt;0")</f>
        <v>318</v>
      </c>
      <c r="J19" s="498"/>
      <c r="K19" s="528"/>
      <c r="L19" s="528"/>
      <c r="M19" s="535">
        <f>SUMIF(M15:M18, "&gt;0")</f>
        <v>332</v>
      </c>
      <c r="N19" s="498"/>
      <c r="O19" s="528"/>
      <c r="P19" s="528"/>
      <c r="Q19" s="272">
        <f t="shared" si="0"/>
        <v>973</v>
      </c>
      <c r="R19" s="196"/>
      <c r="S19" s="531"/>
      <c r="T19" s="528"/>
      <c r="U19" s="277">
        <f>IFERROR(R19-VLOOKUP(D19,'미니게임_DATA(순)'!$A:$FB,MATCH("rct 10g avg",'미니게임_DATA(순)'!$A$3:$FB$3,0),0),0)</f>
        <v>0</v>
      </c>
      <c r="V19" s="185"/>
      <c r="W19" s="185"/>
      <c r="Z19" s="187">
        <f>D19</f>
        <v>0</v>
      </c>
      <c r="AA19" s="187">
        <f>SUM(E19,I19)</f>
        <v>641</v>
      </c>
    </row>
    <row r="20" spans="3:27">
      <c r="C20" s="537" t="s">
        <v>146</v>
      </c>
      <c r="D20" s="180" t="s">
        <v>9</v>
      </c>
      <c r="E20" s="273">
        <f>IFERROR(VLOOKUP(D20,'미니게임_DATA(순)'!$A$5:$EV$38,95,0),0)</f>
        <v>138</v>
      </c>
      <c r="F20" s="273"/>
      <c r="G20" s="526">
        <f>RANK(E24,($E$19,$E$24,$E$29,$E$34,E$39))</f>
        <v>4</v>
      </c>
      <c r="H20" s="526">
        <f t="shared" ref="H20" si="3">G20</f>
        <v>4</v>
      </c>
      <c r="I20" s="273">
        <f>IFERROR(VLOOKUP(D20,'미니게임_DATA(순)'!$A$5:$EV$38,96,0),0)</f>
        <v>167</v>
      </c>
      <c r="J20" s="273"/>
      <c r="K20" s="526">
        <f>RANK(I24,($I$19,$I$24,$I$29,$I$34,I$39))</f>
        <v>3</v>
      </c>
      <c r="L20" s="526">
        <f>RANK(AA24,($AA$19,$AA$24,$AA$29,$AA$34,$AA$39))</f>
        <v>4</v>
      </c>
      <c r="M20" s="273">
        <f>IFERROR(VLOOKUP(D20,'미니게임_DATA(순)'!$A$5:$EV$38,97,0),0)</f>
        <v>187</v>
      </c>
      <c r="N20" s="273"/>
      <c r="O20" s="526">
        <f>RANK(M24,($M$19,$M$24,$M$29,$M$34,$M$39))</f>
        <v>2</v>
      </c>
      <c r="P20" s="526">
        <f t="shared" ref="P20" si="4">S20</f>
        <v>3</v>
      </c>
      <c r="Q20" s="273">
        <f t="shared" si="0"/>
        <v>492</v>
      </c>
      <c r="R20" s="274">
        <f>AVERAGE(E20,I20,M20)</f>
        <v>164</v>
      </c>
      <c r="S20" s="529">
        <f>RANK(Q24,($Q$19,$Q$24,$Q$29,$Q$34,$Q$39))</f>
        <v>3</v>
      </c>
      <c r="T20" s="532">
        <f>MAX($Q$19,$Q$24,Q$29,Q$34,Q$39)-Q24</f>
        <v>24</v>
      </c>
      <c r="U20" s="184">
        <f>IFERROR(R20-VLOOKUP(D20,'미니게임_DATA(순)'!$A:$FB,MATCH("rct 10g avg",'미니게임_DATA(순)'!$A$3:$FB$3,0),0),0)</f>
        <v>2.8000000000000114</v>
      </c>
      <c r="W20" s="185">
        <f t="array" ref="W20">MAX(IF('미니게임_DATA(순)'!$A$5:$A$41=Z20,'미니게임_DATA(순)'!$CQ$5:$CS$41))</f>
        <v>187</v>
      </c>
      <c r="X20" s="267">
        <f>R20</f>
        <v>164</v>
      </c>
      <c r="Y20" s="267" t="str">
        <f>VLOOKUP(Z20,'미니게임_DATA(순)'!$A$4:$C$45,3,0)</f>
        <v>남</v>
      </c>
      <c r="Z20" s="187" t="str">
        <f>D20</f>
        <v>백동민</v>
      </c>
    </row>
    <row r="21" spans="3:27">
      <c r="C21" s="538"/>
      <c r="D21" s="188" t="s">
        <v>14</v>
      </c>
      <c r="E21" s="273">
        <f>IFERROR(VLOOKUP(D21,'미니게임_DATA(순)'!$A$5:$EV$38,95,0),0)</f>
        <v>166</v>
      </c>
      <c r="F21" s="275"/>
      <c r="G21" s="527"/>
      <c r="H21" s="527"/>
      <c r="I21" s="273">
        <f>IFERROR(VLOOKUP(D21,'미니게임_DATA(순)'!$A$5:$EV$38,96,0),0)</f>
        <v>148</v>
      </c>
      <c r="J21" s="275"/>
      <c r="K21" s="527"/>
      <c r="L21" s="527"/>
      <c r="M21" s="273">
        <f>IFERROR(VLOOKUP(D21,'미니게임_DATA(순)'!$A$5:$EV$38,97,0),0)</f>
        <v>144</v>
      </c>
      <c r="N21" s="275"/>
      <c r="O21" s="527"/>
      <c r="P21" s="527"/>
      <c r="Q21" s="275">
        <f t="shared" si="0"/>
        <v>458</v>
      </c>
      <c r="R21" s="274">
        <f>AVERAGE(E21,I21,M21)</f>
        <v>152.66666666666666</v>
      </c>
      <c r="S21" s="530"/>
      <c r="T21" s="533"/>
      <c r="U21" s="190">
        <f>IFERROR(R21-VLOOKUP(D21,'미니게임_DATA(순)'!$A:$FB,MATCH("rct 10g avg",'미니게임_DATA(순)'!$A$3:$FB$3,0),0),0)</f>
        <v>-9.5333333333333314</v>
      </c>
      <c r="W21" s="185">
        <f t="array" ref="W21">MAX(IF('미니게임_DATA(순)'!$A$5:$A$41=Z21,'미니게임_DATA(순)'!$CQ$5:$CS$41))</f>
        <v>166</v>
      </c>
      <c r="X21" s="267">
        <f>R21</f>
        <v>152.66666666666666</v>
      </c>
      <c r="Y21" s="267" t="str">
        <f>VLOOKUP(Z21,'미니게임_DATA(순)'!$A$4:$C$45,3,0)</f>
        <v>남</v>
      </c>
      <c r="Z21" s="187" t="str">
        <f>D21</f>
        <v>채승엽</v>
      </c>
    </row>
    <row r="22" spans="3:27">
      <c r="C22" s="538"/>
      <c r="D22" s="188"/>
      <c r="E22" s="275">
        <f>IFERROR(VLOOKUP(D22,'미니게임_DATA(순)'!$A$5:$EV$38,92,0),0)</f>
        <v>0</v>
      </c>
      <c r="F22" s="275"/>
      <c r="G22" s="527"/>
      <c r="H22" s="527"/>
      <c r="I22" s="275">
        <f>IFERROR(VLOOKUP(D22,'미니게임_DATA(순)'!$A$5:$EV$38,93,0),0)</f>
        <v>0</v>
      </c>
      <c r="J22" s="275"/>
      <c r="K22" s="527"/>
      <c r="L22" s="527"/>
      <c r="M22" s="275">
        <f>IFERROR(VLOOKUP(D22,'미니게임_DATA(순)'!$A$5:$EV$38,94,0),0)</f>
        <v>0</v>
      </c>
      <c r="N22" s="275"/>
      <c r="O22" s="527"/>
      <c r="P22" s="527"/>
      <c r="Q22" s="275">
        <f t="shared" si="0"/>
        <v>0</v>
      </c>
      <c r="R22" s="274"/>
      <c r="S22" s="530"/>
      <c r="T22" s="533"/>
      <c r="U22" s="190">
        <f>IFERROR(R22-VLOOKUP(D22,'미니게임_DATA(순)'!$A:$FB,MATCH("rct 10g avg",'미니게임_DATA(순)'!$A$3:$FB$3,0),0),0)</f>
        <v>0</v>
      </c>
      <c r="W22" s="185">
        <f t="array" ref="W22">MAX(IF('미니게임_DATA(순)'!$A$5:$A$41=Z22,'미니게임_DATA(순)'!$CN$5:$CP$41))</f>
        <v>0</v>
      </c>
      <c r="X22" s="267">
        <f>R22</f>
        <v>0</v>
      </c>
      <c r="Z22" s="187">
        <f>D22</f>
        <v>0</v>
      </c>
    </row>
    <row r="23" spans="3:27">
      <c r="C23" s="538"/>
      <c r="D23" s="188"/>
      <c r="E23" s="279"/>
      <c r="F23" s="279"/>
      <c r="G23" s="527"/>
      <c r="H23" s="527"/>
      <c r="I23" s="279"/>
      <c r="J23" s="279"/>
      <c r="K23" s="527"/>
      <c r="L23" s="527"/>
      <c r="M23" s="279"/>
      <c r="N23" s="279"/>
      <c r="O23" s="527"/>
      <c r="P23" s="527"/>
      <c r="Q23" s="279">
        <f t="shared" si="0"/>
        <v>0</v>
      </c>
      <c r="R23" s="276">
        <f t="shared" ref="R23" si="5">Q23/3</f>
        <v>0</v>
      </c>
      <c r="S23" s="530"/>
      <c r="T23" s="533"/>
      <c r="U23" s="190">
        <f>IFERROR(R23-VLOOKUP(D23,'미니게임_DATA(순)'!$A:$FB,MATCH("rct 10g avg",'미니게임_DATA(순)'!$A$3:$FB$3,0),0),0)</f>
        <v>0</v>
      </c>
      <c r="W23" s="185"/>
      <c r="Z23" s="187"/>
    </row>
    <row r="24" spans="3:27" ht="16.5">
      <c r="C24" s="539"/>
      <c r="D24" s="283"/>
      <c r="E24" s="535">
        <f>SUMIF(E20:F23, "&gt;0")</f>
        <v>304</v>
      </c>
      <c r="F24" s="498"/>
      <c r="G24" s="528"/>
      <c r="H24" s="528"/>
      <c r="I24" s="535">
        <f>SUMIF(I20:J23, "&gt;0")</f>
        <v>315</v>
      </c>
      <c r="J24" s="498"/>
      <c r="K24" s="528"/>
      <c r="L24" s="528"/>
      <c r="M24" s="535">
        <f>SUMIF(M20:N23, "&gt;0")</f>
        <v>331</v>
      </c>
      <c r="N24" s="498"/>
      <c r="O24" s="528"/>
      <c r="P24" s="528"/>
      <c r="Q24" s="272">
        <f t="shared" si="0"/>
        <v>950</v>
      </c>
      <c r="R24" s="196"/>
      <c r="S24" s="531"/>
      <c r="T24" s="534"/>
      <c r="U24" s="277">
        <f>IFERROR(R24-VLOOKUP(D24,'미니게임_DATA(순)'!$A:$FB,MATCH("rct 10g avg",'미니게임_DATA(순)'!$A$3:$FB$3,0),0),0)</f>
        <v>0</v>
      </c>
      <c r="V24" s="185"/>
      <c r="W24" s="185"/>
      <c r="Z24" s="187">
        <f>D24</f>
        <v>0</v>
      </c>
      <c r="AA24" s="187">
        <f>SUM(E24,I24)</f>
        <v>619</v>
      </c>
    </row>
    <row r="25" spans="3:27">
      <c r="C25" s="537" t="s">
        <v>147</v>
      </c>
      <c r="D25" s="180" t="s">
        <v>8</v>
      </c>
      <c r="E25" s="273">
        <f>IFERROR(VLOOKUP(D25,'미니게임_DATA(순)'!$A$4:$EV$45,95,0),0)</f>
        <v>174</v>
      </c>
      <c r="F25" s="273"/>
      <c r="G25" s="526">
        <f>RANK(E29,($E$19,$E$24,$E$29,$E$34,E$39))</f>
        <v>1</v>
      </c>
      <c r="H25" s="526">
        <f t="shared" ref="H25" si="6">G25</f>
        <v>1</v>
      </c>
      <c r="I25" s="273">
        <f>IFERROR(VLOOKUP(D25,'미니게임_DATA(순)'!$A$4:$EV$45,96,0),0)</f>
        <v>176</v>
      </c>
      <c r="J25" s="273"/>
      <c r="K25" s="526">
        <f>RANK(I29,($I$19,$I$24,$I$29,$I$34,I$39))</f>
        <v>3</v>
      </c>
      <c r="L25" s="526">
        <f>RANK(AA29,($AA$19,$AA$24,$AA$29,$AA$34,$AA$39))</f>
        <v>1</v>
      </c>
      <c r="M25" s="273">
        <f>IFERROR(VLOOKUP(D25,'미니게임_DATA(순)'!$A$4:$EV$45,97,0),0)</f>
        <v>180</v>
      </c>
      <c r="N25" s="273"/>
      <c r="O25" s="526">
        <f>RANK(M29,($M$19,$M$24,$M$29,$M$34,$M$39))</f>
        <v>3</v>
      </c>
      <c r="P25" s="526">
        <f t="shared" ref="P25" si="7">S25</f>
        <v>1</v>
      </c>
      <c r="Q25" s="273">
        <f t="shared" si="0"/>
        <v>530</v>
      </c>
      <c r="R25" s="274">
        <f>AVERAGE(E25,I25,M25)</f>
        <v>176.66666666666666</v>
      </c>
      <c r="S25" s="529">
        <f>RANK(Q29,($Q$19,$Q$24,$Q$29,$Q$34,$Q$39))</f>
        <v>1</v>
      </c>
      <c r="T25" s="532">
        <f>MAX($Q$19,$Q$24,Q$29,Q$34,Q$39)-Q29</f>
        <v>0</v>
      </c>
      <c r="U25" s="184">
        <f>IFERROR(R25-VLOOKUP(D25,'미니게임_DATA(순)'!$A:$FB,MATCH("rct 10g avg",'미니게임_DATA(순)'!$A$3:$FB$3,0),0),0)</f>
        <v>-8.6333333333333542</v>
      </c>
      <c r="W25" s="185">
        <f t="array" ref="W25">MAX(IF('미니게임_DATA(순)'!$A$5:$A$41=Z25,'미니게임_DATA(순)'!$CQ$5:$CS$41))</f>
        <v>180</v>
      </c>
      <c r="X25" s="267">
        <f>R25</f>
        <v>176.66666666666666</v>
      </c>
      <c r="Y25" s="267" t="str">
        <f>VLOOKUP(Z25,'미니게임_DATA(순)'!$A$4:$C$45,3,0)</f>
        <v>남</v>
      </c>
      <c r="Z25" s="187" t="str">
        <f>D25</f>
        <v>조문수</v>
      </c>
    </row>
    <row r="26" spans="3:27">
      <c r="C26" s="538"/>
      <c r="D26" s="188" t="s">
        <v>11</v>
      </c>
      <c r="E26" s="273">
        <f>IFERROR(VLOOKUP(D26,'미니게임_DATA(순)'!$A$5:$EV$38,95,0),0)</f>
        <v>159</v>
      </c>
      <c r="F26" s="275"/>
      <c r="G26" s="527"/>
      <c r="H26" s="527"/>
      <c r="I26" s="273">
        <f>IFERROR(VLOOKUP(D26,'미니게임_DATA(순)'!$A$5:$EV$38,96,0),0)</f>
        <v>139</v>
      </c>
      <c r="J26" s="275"/>
      <c r="K26" s="527"/>
      <c r="L26" s="527"/>
      <c r="M26" s="273">
        <f>IFERROR(VLOOKUP(D26,'미니게임_DATA(순)'!$A$5:$EV$38,97,0),0)</f>
        <v>146</v>
      </c>
      <c r="N26" s="275"/>
      <c r="O26" s="527"/>
      <c r="P26" s="527"/>
      <c r="Q26" s="275">
        <f t="shared" si="0"/>
        <v>444</v>
      </c>
      <c r="R26" s="274">
        <f>AVERAGE(E26,I26,M26)</f>
        <v>148</v>
      </c>
      <c r="S26" s="530"/>
      <c r="T26" s="533"/>
      <c r="U26" s="190">
        <f>IFERROR(R26-VLOOKUP(D26,'미니게임_DATA(순)'!$A:$FB,MATCH("rct 10g avg",'미니게임_DATA(순)'!$A$3:$FB$3,0),0),0)</f>
        <v>-10.099999999999994</v>
      </c>
      <c r="W26" s="185">
        <f t="array" ref="W26">MAX(IF('미니게임_DATA(순)'!$A$5:$A$41=Z26,'미니게임_DATA(순)'!$CQ$5:$CS$41))</f>
        <v>159</v>
      </c>
      <c r="X26" s="267">
        <f>R26</f>
        <v>148</v>
      </c>
      <c r="Y26" s="267" t="str">
        <f>VLOOKUP(Z26,'미니게임_DATA(순)'!$A$4:$C$45,3,0)</f>
        <v>남</v>
      </c>
      <c r="Z26" s="187" t="str">
        <f>D26</f>
        <v>박용승</v>
      </c>
    </row>
    <row r="27" spans="3:27">
      <c r="C27" s="538"/>
      <c r="D27" s="188"/>
      <c r="E27" s="275">
        <f>IFERROR(VLOOKUP(D27,'미니게임_DATA(순)'!$A$5:$EV$38,92,0),0)</f>
        <v>0</v>
      </c>
      <c r="F27" s="275"/>
      <c r="G27" s="527"/>
      <c r="H27" s="527"/>
      <c r="I27" s="275">
        <f>IFERROR(VLOOKUP(D27,'미니게임_DATA(순)'!$A$5:$EV$38,93,0),0)</f>
        <v>0</v>
      </c>
      <c r="J27" s="275"/>
      <c r="K27" s="527"/>
      <c r="L27" s="527"/>
      <c r="M27" s="275">
        <f>IFERROR(VLOOKUP(D27,'미니게임_DATA(순)'!$A$5:$EV$38,94,0),0)</f>
        <v>0</v>
      </c>
      <c r="N27" s="275"/>
      <c r="O27" s="527"/>
      <c r="P27" s="527"/>
      <c r="Q27" s="275">
        <f t="shared" si="0"/>
        <v>0</v>
      </c>
      <c r="R27" s="274"/>
      <c r="S27" s="530"/>
      <c r="T27" s="533"/>
      <c r="U27" s="190">
        <f>IFERROR(R27-VLOOKUP(D27,'미니게임_DATA(순)'!$A:$FB,MATCH("rct 10g avg",'미니게임_DATA(순)'!$A$3:$FB$3,0),0),0)</f>
        <v>0</v>
      </c>
      <c r="W27" s="185">
        <f t="array" ref="W27">MAX(IF('미니게임_DATA(순)'!$A$5:$A$41=Z27,'미니게임_DATA(순)'!$CN$5:$CP$41))</f>
        <v>0</v>
      </c>
      <c r="X27" s="267">
        <f>R27</f>
        <v>0</v>
      </c>
      <c r="Z27" s="187">
        <f>D27</f>
        <v>0</v>
      </c>
    </row>
    <row r="28" spans="3:27">
      <c r="C28" s="538"/>
      <c r="D28" s="188"/>
      <c r="E28" s="279">
        <f>IFERROR(VLOOKUP(D28,미니게임_DATA!$A:$GT,6,0),0)</f>
        <v>0</v>
      </c>
      <c r="F28" s="279"/>
      <c r="G28" s="527"/>
      <c r="H28" s="527"/>
      <c r="I28" s="279">
        <f>IFERROR(VLOOKUP(D28,미니게임_DATA!$A:$GT,7,0),0)</f>
        <v>0</v>
      </c>
      <c r="J28" s="279"/>
      <c r="K28" s="527"/>
      <c r="L28" s="527"/>
      <c r="M28" s="279">
        <f>IFERROR(VLOOKUP(D28,미니게임_DATA!$A:$GT,8,0),0)</f>
        <v>0</v>
      </c>
      <c r="N28" s="279"/>
      <c r="O28" s="527"/>
      <c r="P28" s="527"/>
      <c r="Q28" s="279">
        <f t="shared" si="0"/>
        <v>0</v>
      </c>
      <c r="R28" s="276">
        <f t="shared" ref="R28" si="8">Q28/3</f>
        <v>0</v>
      </c>
      <c r="S28" s="530"/>
      <c r="T28" s="533"/>
      <c r="U28" s="190">
        <f>IFERROR(R28-VLOOKUP(D28,'미니게임_DATA(순)'!$A:$FB,MATCH("rct 10g avg",'미니게임_DATA(순)'!$A$3:$FB$3,0),0),0)</f>
        <v>0</v>
      </c>
      <c r="W28" s="185"/>
      <c r="Z28" s="187"/>
    </row>
    <row r="29" spans="3:27" ht="16.5">
      <c r="C29" s="539"/>
      <c r="D29" s="283"/>
      <c r="E29" s="535">
        <f>SUMIF(E25:F28, "&gt;0")</f>
        <v>333</v>
      </c>
      <c r="F29" s="498"/>
      <c r="G29" s="528"/>
      <c r="H29" s="528"/>
      <c r="I29" s="535">
        <f>SUMIF(I25:J28, "&gt;0")</f>
        <v>315</v>
      </c>
      <c r="J29" s="498"/>
      <c r="K29" s="528"/>
      <c r="L29" s="528"/>
      <c r="M29" s="535">
        <f>SUMIF(M25:N28, "&gt;0")</f>
        <v>326</v>
      </c>
      <c r="N29" s="498"/>
      <c r="O29" s="528"/>
      <c r="P29" s="528"/>
      <c r="Q29" s="272">
        <f t="shared" si="0"/>
        <v>974</v>
      </c>
      <c r="R29" s="196"/>
      <c r="S29" s="531"/>
      <c r="T29" s="534"/>
      <c r="U29" s="277">
        <f>IFERROR(R29-VLOOKUP(D29,'미니게임_DATA(순)'!$A:$FB,MATCH("rct 10g avg",'미니게임_DATA(순)'!$A$3:$FB$3,0),0),0)</f>
        <v>0</v>
      </c>
      <c r="V29" s="185"/>
      <c r="W29" s="185"/>
      <c r="Z29" s="187">
        <f>D29</f>
        <v>0</v>
      </c>
      <c r="AA29" s="187">
        <f>SUM(E29,I29)</f>
        <v>648</v>
      </c>
    </row>
    <row r="30" spans="3:27">
      <c r="C30" s="537" t="s">
        <v>148</v>
      </c>
      <c r="D30" s="180" t="s">
        <v>38</v>
      </c>
      <c r="E30" s="273">
        <f>IFERROR(VLOOKUP(D30,'미니게임_DATA(순)'!$A$5:$EV$38,95,0),0)</f>
        <v>136</v>
      </c>
      <c r="F30" s="273"/>
      <c r="G30" s="526">
        <f>RANK(E34,($E$19,$E$24,$E$29,$E$34,$E$39))</f>
        <v>3</v>
      </c>
      <c r="H30" s="526">
        <f t="shared" ref="H30" si="9">G30</f>
        <v>3</v>
      </c>
      <c r="I30" s="273">
        <f>IFERROR(VLOOKUP(D30,'미니게임_DATA(순)'!$A$5:$EV$38,96,0),0)</f>
        <v>150</v>
      </c>
      <c r="J30" s="273"/>
      <c r="K30" s="526">
        <f>RANK(I34,($I$19,$I$24,$I$29,$I$34,I$39))</f>
        <v>1</v>
      </c>
      <c r="L30" s="526">
        <f>RANK(AA34,($AA$19,$AA$24,$AA$29,$AA$34,$AA$39))</f>
        <v>3</v>
      </c>
      <c r="M30" s="273">
        <f>IFERROR(VLOOKUP(D30,'미니게임_DATA(순)'!$A$5:$EV$38,97,0),0)</f>
        <v>111</v>
      </c>
      <c r="N30" s="273"/>
      <c r="O30" s="526">
        <f>RANK(M34,($M$19,$M$24,$M$29,$M$34,$M$39))</f>
        <v>4</v>
      </c>
      <c r="P30" s="526">
        <f t="shared" ref="P30" si="10">S30</f>
        <v>4</v>
      </c>
      <c r="Q30" s="273">
        <f t="shared" si="0"/>
        <v>397</v>
      </c>
      <c r="R30" s="274">
        <f>AVERAGE(E30,I30,M30)</f>
        <v>132.33333333333334</v>
      </c>
      <c r="S30" s="529">
        <f>RANK(Q34,($Q$19,$Q$24,$Q$29,$Q$34,$Q$39))</f>
        <v>4</v>
      </c>
      <c r="T30" s="532">
        <f>MAX($Q$19,$Q$24,Q$29,Q$34,Q$39)-Q34</f>
        <v>79</v>
      </c>
      <c r="U30" s="184">
        <f>IFERROR(R30-VLOOKUP(D30,'미니게임_DATA(순)'!$A:$FB,MATCH("rct 10g avg",'미니게임_DATA(순)'!$A$3:$FB$3,0),0),0)</f>
        <v>-29.366666666666646</v>
      </c>
      <c r="W30" s="185">
        <f t="array" ref="W30">MAX(IF('미니게임_DATA(순)'!$A$5:$A$41=Z30,'미니게임_DATA(순)'!$CQ$5:$CS$41))</f>
        <v>150</v>
      </c>
      <c r="X30" s="267">
        <f>R30</f>
        <v>132.33333333333334</v>
      </c>
      <c r="Y30" s="267" t="str">
        <f>VLOOKUP(Z30,'미니게임_DATA(순)'!$A$4:$C$45,3,0)</f>
        <v>남</v>
      </c>
      <c r="Z30" s="187" t="str">
        <f>D30</f>
        <v>이수용</v>
      </c>
    </row>
    <row r="31" spans="3:27">
      <c r="C31" s="538"/>
      <c r="D31" s="188" t="s">
        <v>17</v>
      </c>
      <c r="E31" s="273">
        <f>IFERROR(VLOOKUP(D31,'미니게임_DATA(순)'!$A$5:$EV$38,95,0),0)</f>
        <v>169</v>
      </c>
      <c r="F31" s="275"/>
      <c r="G31" s="527"/>
      <c r="H31" s="527"/>
      <c r="I31" s="273">
        <f>IFERROR(VLOOKUP(D31,'미니게임_DATA(순)'!$A$5:$EV$38,96,0),0)</f>
        <v>177</v>
      </c>
      <c r="J31" s="275"/>
      <c r="K31" s="527"/>
      <c r="L31" s="527"/>
      <c r="M31" s="273">
        <f>IFERROR(VLOOKUP(D31,'미니게임_DATA(순)'!$A$5:$EV$38,97,0),0)</f>
        <v>152</v>
      </c>
      <c r="N31" s="275"/>
      <c r="O31" s="527"/>
      <c r="P31" s="527"/>
      <c r="Q31" s="275">
        <f t="shared" si="0"/>
        <v>498</v>
      </c>
      <c r="R31" s="274">
        <f>AVERAGE(E31,I31,M31)</f>
        <v>166</v>
      </c>
      <c r="S31" s="530"/>
      <c r="T31" s="533"/>
      <c r="U31" s="190">
        <f>IFERROR(R31-VLOOKUP(D31,'미니게임_DATA(순)'!$A:$FB,MATCH("rct 10g avg",'미니게임_DATA(순)'!$A$3:$FB$3,0),0),0)</f>
        <v>18.900000000000006</v>
      </c>
      <c r="W31" s="185">
        <f t="array" ref="W31">MAX(IF('미니게임_DATA(순)'!$A$5:$A$41=Z31,'미니게임_DATA(순)'!$CQ$5:$CS$41))</f>
        <v>177</v>
      </c>
      <c r="X31" s="267">
        <f>R31</f>
        <v>166</v>
      </c>
      <c r="Y31" s="267" t="str">
        <f>VLOOKUP(Z31,'미니게임_DATA(순)'!$A$4:$C$45,3,0)</f>
        <v>남</v>
      </c>
      <c r="Z31" s="187" t="str">
        <f>D31</f>
        <v>한희용</v>
      </c>
    </row>
    <row r="32" spans="3:27">
      <c r="C32" s="538"/>
      <c r="D32" s="188"/>
      <c r="E32" s="275">
        <f>IFERROR(VLOOKUP(D32,'미니게임_DATA(순)'!$A$5:$EV$38,92,0),0)</f>
        <v>0</v>
      </c>
      <c r="F32" s="275"/>
      <c r="G32" s="527"/>
      <c r="H32" s="527"/>
      <c r="I32" s="275">
        <f>IFERROR(VLOOKUP(D32,'미니게임_DATA(순)'!$A$5:$EV$38,93,0),0)</f>
        <v>0</v>
      </c>
      <c r="J32" s="275"/>
      <c r="K32" s="527"/>
      <c r="L32" s="527"/>
      <c r="M32" s="275">
        <f>IFERROR(VLOOKUP(D32,'미니게임_DATA(순)'!$A$5:$EV$38,94,0),0)</f>
        <v>0</v>
      </c>
      <c r="N32" s="275"/>
      <c r="O32" s="527"/>
      <c r="P32" s="527"/>
      <c r="Q32" s="275">
        <f t="shared" si="0"/>
        <v>0</v>
      </c>
      <c r="R32" s="274"/>
      <c r="S32" s="530"/>
      <c r="T32" s="533"/>
      <c r="U32" s="190">
        <f>IFERROR(R32-VLOOKUP(D32,'미니게임_DATA(순)'!$A:$FB,MATCH("rct 10g avg",'미니게임_DATA(순)'!$A$3:$FB$3,0),0),0)</f>
        <v>0</v>
      </c>
      <c r="W32" s="185">
        <f t="array" ref="W32">MAX(IF('미니게임_DATA(순)'!$A$5:$A$41=Z32,'미니게임_DATA(순)'!$CN$5:$CP$41))</f>
        <v>0</v>
      </c>
      <c r="X32" s="267">
        <f>R32</f>
        <v>0</v>
      </c>
      <c r="Z32" s="187">
        <f>D32</f>
        <v>0</v>
      </c>
    </row>
    <row r="33" spans="2:28">
      <c r="C33" s="538"/>
      <c r="D33" s="188"/>
      <c r="E33" s="279"/>
      <c r="F33" s="279"/>
      <c r="G33" s="527"/>
      <c r="H33" s="527"/>
      <c r="I33" s="279"/>
      <c r="J33" s="279"/>
      <c r="K33" s="527"/>
      <c r="L33" s="527"/>
      <c r="M33" s="279">
        <f>IFERROR(VLOOKUP(D33,'미니게임_DATA(순)'!$A$5:$BU$38,73,0),0)</f>
        <v>0</v>
      </c>
      <c r="N33" s="279"/>
      <c r="O33" s="527"/>
      <c r="P33" s="527"/>
      <c r="Q33" s="279">
        <f t="shared" si="0"/>
        <v>0</v>
      </c>
      <c r="R33" s="276">
        <f t="shared" ref="R33" si="11">Q33/3</f>
        <v>0</v>
      </c>
      <c r="S33" s="530"/>
      <c r="T33" s="533"/>
      <c r="U33" s="190">
        <f>IFERROR(R33-VLOOKUP(D33,'미니게임_DATA(순)'!$A:$FB,MATCH("rct 10g avg",'미니게임_DATA(순)'!$A$3:$FB$3,0),0),0)</f>
        <v>0</v>
      </c>
      <c r="W33" s="185"/>
      <c r="Z33" s="187"/>
    </row>
    <row r="34" spans="2:28" ht="16.5">
      <c r="C34" s="539"/>
      <c r="D34" s="283"/>
      <c r="E34" s="535">
        <f t="shared" ref="E34" si="12">SUMIF(E30:E33, "&gt;0")</f>
        <v>305</v>
      </c>
      <c r="F34" s="498"/>
      <c r="G34" s="528"/>
      <c r="H34" s="528"/>
      <c r="I34" s="535">
        <f t="shared" ref="I34" si="13">SUMIF(I30:I33, "&gt;0")</f>
        <v>327</v>
      </c>
      <c r="J34" s="498"/>
      <c r="K34" s="528"/>
      <c r="L34" s="528"/>
      <c r="M34" s="535">
        <f>SUMIF(M30:M33, "&gt;0")</f>
        <v>263</v>
      </c>
      <c r="N34" s="498"/>
      <c r="O34" s="528"/>
      <c r="P34" s="528"/>
      <c r="Q34" s="272">
        <f t="shared" si="0"/>
        <v>895</v>
      </c>
      <c r="R34" s="196"/>
      <c r="S34" s="531"/>
      <c r="T34" s="534"/>
      <c r="U34" s="277">
        <f>IFERROR(R34-VLOOKUP(D34,'미니게임_DATA(순)'!$A:$FB,MATCH("rct 10g avg",'미니게임_DATA(순)'!$A$3:$FB$3,0),0),0)</f>
        <v>0</v>
      </c>
      <c r="V34" s="185"/>
      <c r="W34" s="185"/>
      <c r="Z34" s="187">
        <f>D34</f>
        <v>0</v>
      </c>
      <c r="AA34" s="187">
        <f>SUM(E34,I34)</f>
        <v>632</v>
      </c>
    </row>
    <row r="35" spans="2:28">
      <c r="C35" s="537" t="s">
        <v>149</v>
      </c>
      <c r="D35" s="180"/>
      <c r="E35" s="273">
        <f>IFERROR(VLOOKUP(D35,'미니게임_DATA(순)'!$A$5:$EV$38,89,0),0)</f>
        <v>0</v>
      </c>
      <c r="F35" s="273"/>
      <c r="G35" s="526"/>
      <c r="H35" s="526"/>
      <c r="I35" s="273">
        <f>IFERROR(VLOOKUP(D35,'미니게임_DATA(순)'!$A$5:$EV$38,90,0),0)</f>
        <v>0</v>
      </c>
      <c r="J35" s="273"/>
      <c r="K35" s="526"/>
      <c r="L35" s="526"/>
      <c r="M35" s="273">
        <f>IFERROR(VLOOKUP(D35,'미니게임_DATA(순)'!$A$5:$EV$38,91,0),0)</f>
        <v>0</v>
      </c>
      <c r="N35" s="273"/>
      <c r="O35" s="526"/>
      <c r="P35" s="526"/>
      <c r="Q35" s="273">
        <f t="shared" si="0"/>
        <v>0</v>
      </c>
      <c r="R35" s="274">
        <f>Q35/3</f>
        <v>0</v>
      </c>
      <c r="S35" s="529"/>
      <c r="T35" s="532"/>
      <c r="U35" s="184">
        <f>IFERROR(R35-VLOOKUP(D35,'미니게임_DATA(순)'!$A:$FB,MATCH("rct 10g avg",'미니게임_DATA(순)'!$A$3:$FB$3,0),0),0)</f>
        <v>0</v>
      </c>
      <c r="W35" s="185"/>
      <c r="Z35" s="187"/>
    </row>
    <row r="36" spans="2:28" s="172" customFormat="1">
      <c r="B36" s="169"/>
      <c r="C36" s="538"/>
      <c r="D36" s="188"/>
      <c r="E36" s="275">
        <f>IFERROR(VLOOKUP(D36,'미니게임_DATA(순)'!$A$5:$EV$38,89,0),0)</f>
        <v>0</v>
      </c>
      <c r="F36" s="275"/>
      <c r="G36" s="527"/>
      <c r="H36" s="527"/>
      <c r="I36" s="275">
        <f>IFERROR(VLOOKUP(D36,'미니게임_DATA(순)'!$A$5:$EV$38,90,0),0)</f>
        <v>0</v>
      </c>
      <c r="J36" s="275"/>
      <c r="K36" s="527"/>
      <c r="L36" s="527"/>
      <c r="M36" s="275">
        <f>IFERROR(VLOOKUP(D36,'미니게임_DATA(순)'!$A$5:$EV$38,91,0),0)</f>
        <v>0</v>
      </c>
      <c r="N36" s="275"/>
      <c r="O36" s="527"/>
      <c r="P36" s="527"/>
      <c r="Q36" s="275">
        <f t="shared" si="0"/>
        <v>0</v>
      </c>
      <c r="R36" s="276">
        <f t="shared" ref="R36:R38" si="14">Q36/3</f>
        <v>0</v>
      </c>
      <c r="S36" s="530"/>
      <c r="T36" s="533"/>
      <c r="U36" s="190">
        <f>IFERROR(R36-VLOOKUP(D36,'미니게임_DATA(순)'!$A:$FB,MATCH("rct 10g avg",'미니게임_DATA(순)'!$A$3:$FB$3,0),0),0)</f>
        <v>0</v>
      </c>
      <c r="W36" s="185"/>
      <c r="X36" s="267"/>
      <c r="Y36" s="267"/>
      <c r="Z36" s="187"/>
      <c r="AA36" s="169"/>
      <c r="AB36" s="169"/>
    </row>
    <row r="37" spans="2:28" s="172" customFormat="1">
      <c r="B37" s="169"/>
      <c r="C37" s="538"/>
      <c r="D37" s="188"/>
      <c r="E37" s="275"/>
      <c r="F37" s="275"/>
      <c r="G37" s="527"/>
      <c r="H37" s="527"/>
      <c r="I37" s="275"/>
      <c r="J37" s="275"/>
      <c r="K37" s="527"/>
      <c r="L37" s="527"/>
      <c r="M37" s="275"/>
      <c r="N37" s="275"/>
      <c r="O37" s="527"/>
      <c r="P37" s="527"/>
      <c r="Q37" s="275">
        <f t="shared" si="0"/>
        <v>0</v>
      </c>
      <c r="R37" s="276">
        <f t="shared" si="14"/>
        <v>0</v>
      </c>
      <c r="S37" s="530"/>
      <c r="T37" s="533"/>
      <c r="U37" s="190">
        <f>IFERROR(R37-VLOOKUP(D37,'미니게임_DATA(순)'!$A:$FB,MATCH("rct 10g avg",'미니게임_DATA(순)'!$A$3:$FB$3,0),0),0)</f>
        <v>0</v>
      </c>
      <c r="W37" s="185"/>
      <c r="X37" s="267"/>
      <c r="Y37" s="267"/>
      <c r="Z37" s="187"/>
      <c r="AA37" s="169"/>
      <c r="AB37" s="169"/>
    </row>
    <row r="38" spans="2:28">
      <c r="C38" s="538"/>
      <c r="D38" s="188"/>
      <c r="E38" s="279"/>
      <c r="F38" s="279"/>
      <c r="G38" s="527"/>
      <c r="H38" s="527"/>
      <c r="I38" s="279"/>
      <c r="J38" s="279"/>
      <c r="K38" s="527"/>
      <c r="L38" s="527"/>
      <c r="M38" s="279"/>
      <c r="N38" s="279"/>
      <c r="O38" s="527"/>
      <c r="P38" s="527"/>
      <c r="Q38" s="279">
        <f t="shared" si="0"/>
        <v>0</v>
      </c>
      <c r="R38" s="276">
        <f t="shared" si="14"/>
        <v>0</v>
      </c>
      <c r="S38" s="530"/>
      <c r="T38" s="533"/>
      <c r="U38" s="190">
        <f>IFERROR(R38-VLOOKUP(D38,'미니게임_DATA(순)'!$A:$FB,MATCH("rct 10g avg",'미니게임_DATA(순)'!$A$3:$FB$3,0),0),0)</f>
        <v>0</v>
      </c>
      <c r="W38" s="185"/>
      <c r="Z38" s="187"/>
    </row>
    <row r="39" spans="2:28" ht="16.5">
      <c r="C39" s="539"/>
      <c r="D39" s="283"/>
      <c r="E39" s="535">
        <f>SUMIF(E35:E38, "&gt;0")</f>
        <v>0</v>
      </c>
      <c r="F39" s="498"/>
      <c r="G39" s="528"/>
      <c r="H39" s="528"/>
      <c r="I39" s="535">
        <f t="shared" ref="I39" si="15">SUMIF(I35:I38, "&gt;0")</f>
        <v>0</v>
      </c>
      <c r="J39" s="498"/>
      <c r="K39" s="528"/>
      <c r="L39" s="528"/>
      <c r="M39" s="535">
        <f>SUMIF(M35:M38, "&gt;0")</f>
        <v>0</v>
      </c>
      <c r="N39" s="498"/>
      <c r="O39" s="528"/>
      <c r="P39" s="528"/>
      <c r="Q39" s="272">
        <f t="shared" si="0"/>
        <v>0</v>
      </c>
      <c r="R39" s="278"/>
      <c r="S39" s="531"/>
      <c r="T39" s="534"/>
      <c r="U39" s="277">
        <f>IFERROR(R39-VLOOKUP(D39,'미니게임_DATA(순)'!$A:$FB,MATCH("rct 10g avg",'미니게임_DATA(순)'!$A$3:$FB$3,0),0),0)</f>
        <v>0</v>
      </c>
      <c r="V39" s="185"/>
      <c r="W39" s="185"/>
      <c r="Z39" s="187"/>
      <c r="AA39" s="187"/>
    </row>
  </sheetData>
  <mergeCells count="78">
    <mergeCell ref="P35:P39"/>
    <mergeCell ref="S35:S39"/>
    <mergeCell ref="T35:T39"/>
    <mergeCell ref="E39:F39"/>
    <mergeCell ref="I39:J39"/>
    <mergeCell ref="M39:N39"/>
    <mergeCell ref="O35:O39"/>
    <mergeCell ref="C35:C39"/>
    <mergeCell ref="G35:G39"/>
    <mergeCell ref="H35:H39"/>
    <mergeCell ref="K35:K39"/>
    <mergeCell ref="L35:L39"/>
    <mergeCell ref="P30:P34"/>
    <mergeCell ref="S30:S34"/>
    <mergeCell ref="T30:T34"/>
    <mergeCell ref="E34:F34"/>
    <mergeCell ref="I34:J34"/>
    <mergeCell ref="M34:N34"/>
    <mergeCell ref="O30:O34"/>
    <mergeCell ref="C30:C34"/>
    <mergeCell ref="G30:G34"/>
    <mergeCell ref="H30:H34"/>
    <mergeCell ref="K30:K34"/>
    <mergeCell ref="L30:L34"/>
    <mergeCell ref="P25:P29"/>
    <mergeCell ref="S25:S29"/>
    <mergeCell ref="T25:T29"/>
    <mergeCell ref="E29:F29"/>
    <mergeCell ref="I29:J29"/>
    <mergeCell ref="M29:N29"/>
    <mergeCell ref="O25:O29"/>
    <mergeCell ref="C25:C29"/>
    <mergeCell ref="G25:G29"/>
    <mergeCell ref="H25:H29"/>
    <mergeCell ref="K25:K29"/>
    <mergeCell ref="L25:L29"/>
    <mergeCell ref="P20:P24"/>
    <mergeCell ref="S20:S24"/>
    <mergeCell ref="T20:T24"/>
    <mergeCell ref="E24:F24"/>
    <mergeCell ref="I24:J24"/>
    <mergeCell ref="M24:N24"/>
    <mergeCell ref="O20:O24"/>
    <mergeCell ref="C20:C24"/>
    <mergeCell ref="G20:G24"/>
    <mergeCell ref="H20:H24"/>
    <mergeCell ref="K20:K24"/>
    <mergeCell ref="L20:L24"/>
    <mergeCell ref="P15:P19"/>
    <mergeCell ref="S15:S19"/>
    <mergeCell ref="T15:T19"/>
    <mergeCell ref="E19:F19"/>
    <mergeCell ref="I19:J19"/>
    <mergeCell ref="M19:N19"/>
    <mergeCell ref="U12:U14"/>
    <mergeCell ref="E13:H13"/>
    <mergeCell ref="I13:L13"/>
    <mergeCell ref="M13:P13"/>
    <mergeCell ref="C15:C19"/>
    <mergeCell ref="G15:G19"/>
    <mergeCell ref="H15:H19"/>
    <mergeCell ref="K15:K19"/>
    <mergeCell ref="L15:L19"/>
    <mergeCell ref="O15:O19"/>
    <mergeCell ref="C12:C14"/>
    <mergeCell ref="D12:D14"/>
    <mergeCell ref="E12:P12"/>
    <mergeCell ref="Q12:Q14"/>
    <mergeCell ref="R12:R14"/>
    <mergeCell ref="S12:T13"/>
    <mergeCell ref="B2:B3"/>
    <mergeCell ref="B4:B5"/>
    <mergeCell ref="B6:B10"/>
    <mergeCell ref="D6:E6"/>
    <mergeCell ref="D7:E7"/>
    <mergeCell ref="D8:E8"/>
    <mergeCell ref="D9:E9"/>
    <mergeCell ref="D10:E10"/>
  </mergeCells>
  <phoneticPr fontId="2" type="noConversion"/>
  <conditionalFormatting sqref="G40:H1048576 G1:H14 K1:L14 O1:P11 O40:P1048576 K40:L1048576 O13:P14">
    <cfRule type="cellIs" dxfId="124" priority="5" operator="equal">
      <formula>1</formula>
    </cfRule>
  </conditionalFormatting>
  <conditionalFormatting sqref="P15:P39">
    <cfRule type="cellIs" dxfId="123" priority="3" operator="equal">
      <formula>1</formula>
    </cfRule>
  </conditionalFormatting>
  <conditionalFormatting sqref="G15:H15 G20:H20 H16:H19 G30:H30 H26:H29 G25:H25 H21:H24 G35 H31:H39">
    <cfRule type="cellIs" dxfId="122" priority="4" operator="equal">
      <formula>1</formula>
    </cfRule>
  </conditionalFormatting>
  <conditionalFormatting sqref="K15:L15 K20 K30 K25 K35 L16:L39">
    <cfRule type="cellIs" dxfId="121" priority="2" operator="equal">
      <formula>1</formula>
    </cfRule>
  </conditionalFormatting>
  <conditionalFormatting sqref="O15 O20 O30 O25 O35">
    <cfRule type="cellIs" dxfId="12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9"/>
  <sheetViews>
    <sheetView showGridLines="0" zoomScale="85" zoomScaleNormal="85" workbookViewId="0">
      <selection activeCell="AK14" sqref="AK14"/>
    </sheetView>
  </sheetViews>
  <sheetFormatPr defaultColWidth="9" defaultRowHeight="13.5"/>
  <cols>
    <col min="1" max="5" width="9" style="169"/>
    <col min="6" max="6" width="5" style="169" bestFit="1" customWidth="1"/>
    <col min="7" max="8" width="5.375" style="169" customWidth="1"/>
    <col min="9" max="9" width="9" style="169"/>
    <col min="10" max="10" width="5" style="169" bestFit="1" customWidth="1"/>
    <col min="11" max="12" width="5.375" style="169" customWidth="1"/>
    <col min="13" max="13" width="9" style="169"/>
    <col min="14" max="14" width="5" style="169" bestFit="1" customWidth="1"/>
    <col min="15" max="16" width="5.375" style="169" customWidth="1"/>
    <col min="17" max="17" width="9" style="170"/>
    <col min="18" max="18" width="9.375" style="171" bestFit="1" customWidth="1"/>
    <col min="19" max="21" width="9" style="169"/>
    <col min="22" max="23" width="9" style="172" hidden="1" customWidth="1"/>
    <col min="24" max="25" width="9" style="267" hidden="1" customWidth="1"/>
    <col min="26" max="27" width="9" style="169" hidden="1" customWidth="1"/>
    <col min="28" max="28" width="9" style="169" customWidth="1"/>
    <col min="29" max="16384" width="9" style="169"/>
  </cols>
  <sheetData>
    <row r="2" spans="2:28">
      <c r="B2" s="550" t="s">
        <v>154</v>
      </c>
      <c r="C2" s="166" t="s">
        <v>156</v>
      </c>
      <c r="D2" s="167" t="str">
        <f>VLOOKUP(E2,W15:Z38,4,0)</f>
        <v>정동현</v>
      </c>
      <c r="E2" s="168">
        <f t="array" ref="E2">MAX(IF('미니게임_DATA(순)'!$C$5:$C$41="남",'미니게임_DATA(순)'!$CN$5:$CP$41))</f>
        <v>203</v>
      </c>
      <c r="F2" s="268"/>
    </row>
    <row r="3" spans="2:28">
      <c r="B3" s="551"/>
      <c r="C3" s="166" t="s">
        <v>157</v>
      </c>
      <c r="D3" s="167" t="str">
        <f>VLOOKUP(E3,W16:Z39,4,0)</f>
        <v>오수인</v>
      </c>
      <c r="E3" s="168">
        <f t="array" ref="E3">MAX(IF('미니게임_DATA(순)'!$C$5:$C$41="여",'미니게임_DATA(순)'!$CN$5:$CP$41))</f>
        <v>171</v>
      </c>
      <c r="F3" s="268"/>
    </row>
    <row r="4" spans="2:28">
      <c r="B4" s="550" t="s">
        <v>158</v>
      </c>
      <c r="C4" s="166" t="s">
        <v>156</v>
      </c>
      <c r="D4" s="167" t="e">
        <f>VLOOKUP(E4,X15:Z39,3,0)</f>
        <v>#N/A</v>
      </c>
      <c r="E4" s="168" t="e">
        <f t="array" ref="E4">MAX(IF(Y14:Y38="남",X14:X38))</f>
        <v>#N/A</v>
      </c>
      <c r="F4" s="268"/>
    </row>
    <row r="5" spans="2:28">
      <c r="B5" s="551"/>
      <c r="C5" s="166" t="s">
        <v>157</v>
      </c>
      <c r="D5" s="167" t="e">
        <f>VLOOKUP(E5,X16:Z40,3,0)</f>
        <v>#N/A</v>
      </c>
      <c r="E5" s="168" t="e">
        <f t="array" ref="E5">MAX(IF(Y14:Y38="여",X14:X38))</f>
        <v>#N/A</v>
      </c>
      <c r="F5" s="268"/>
    </row>
    <row r="6" spans="2:28" ht="16.5">
      <c r="B6" s="550" t="s">
        <v>224</v>
      </c>
      <c r="C6" s="235" t="s">
        <v>154</v>
      </c>
      <c r="D6" s="554" t="s">
        <v>37</v>
      </c>
      <c r="E6" s="472"/>
      <c r="F6" s="269"/>
    </row>
    <row r="7" spans="2:28" ht="16.5">
      <c r="B7" s="552"/>
      <c r="C7" s="235" t="s">
        <v>226</v>
      </c>
      <c r="D7" s="554" t="s">
        <v>40</v>
      </c>
      <c r="E7" s="472"/>
      <c r="F7" s="269"/>
    </row>
    <row r="8" spans="2:28" ht="16.5">
      <c r="B8" s="552"/>
      <c r="C8" s="235" t="s">
        <v>88</v>
      </c>
      <c r="D8" s="554"/>
      <c r="E8" s="498"/>
      <c r="F8" s="270"/>
    </row>
    <row r="9" spans="2:28" ht="16.5">
      <c r="B9" s="557"/>
      <c r="C9" s="235" t="s">
        <v>227</v>
      </c>
      <c r="D9" s="554" t="s">
        <v>239</v>
      </c>
      <c r="E9" s="472"/>
      <c r="F9" s="269"/>
    </row>
    <row r="10" spans="2:28" ht="16.5">
      <c r="B10" s="553"/>
      <c r="C10" s="166" t="s">
        <v>229</v>
      </c>
      <c r="D10" s="554" t="s">
        <v>239</v>
      </c>
      <c r="E10" s="472"/>
      <c r="F10" s="269"/>
    </row>
    <row r="12" spans="2:28" ht="16.5" customHeight="1">
      <c r="C12" s="543" t="s">
        <v>140</v>
      </c>
      <c r="D12" s="543" t="s">
        <v>3</v>
      </c>
      <c r="E12" s="544" t="s">
        <v>141</v>
      </c>
      <c r="F12" s="545"/>
      <c r="G12" s="545"/>
      <c r="H12" s="545"/>
      <c r="I12" s="545"/>
      <c r="J12" s="545"/>
      <c r="K12" s="545"/>
      <c r="L12" s="545"/>
      <c r="M12" s="545"/>
      <c r="N12" s="546"/>
      <c r="O12" s="546"/>
      <c r="P12" s="496"/>
      <c r="Q12" s="547" t="s">
        <v>142</v>
      </c>
      <c r="R12" s="548" t="s">
        <v>184</v>
      </c>
      <c r="S12" s="542" t="s">
        <v>169</v>
      </c>
      <c r="T12" s="542"/>
      <c r="U12" s="542" t="s">
        <v>143</v>
      </c>
    </row>
    <row r="13" spans="2:28">
      <c r="C13" s="543"/>
      <c r="D13" s="543"/>
      <c r="E13" s="543">
        <v>1</v>
      </c>
      <c r="F13" s="543"/>
      <c r="G13" s="543"/>
      <c r="H13" s="543"/>
      <c r="I13" s="543">
        <v>2</v>
      </c>
      <c r="J13" s="543"/>
      <c r="K13" s="543"/>
      <c r="L13" s="543"/>
      <c r="M13" s="543">
        <v>3</v>
      </c>
      <c r="N13" s="543"/>
      <c r="O13" s="543"/>
      <c r="P13" s="543"/>
      <c r="Q13" s="547"/>
      <c r="R13" s="549"/>
      <c r="S13" s="542"/>
      <c r="T13" s="542"/>
      <c r="U13" s="542"/>
      <c r="AB13" s="172"/>
    </row>
    <row r="14" spans="2:28" ht="27">
      <c r="C14" s="543"/>
      <c r="D14" s="543"/>
      <c r="E14" s="265" t="s">
        <v>150</v>
      </c>
      <c r="F14" s="271" t="s">
        <v>302</v>
      </c>
      <c r="G14" s="271" t="s">
        <v>152</v>
      </c>
      <c r="H14" s="271" t="s">
        <v>153</v>
      </c>
      <c r="I14" s="265" t="s">
        <v>150</v>
      </c>
      <c r="J14" s="271" t="s">
        <v>302</v>
      </c>
      <c r="K14" s="271" t="s">
        <v>152</v>
      </c>
      <c r="L14" s="271" t="s">
        <v>153</v>
      </c>
      <c r="M14" s="265" t="s">
        <v>150</v>
      </c>
      <c r="N14" s="271" t="s">
        <v>302</v>
      </c>
      <c r="O14" s="271" t="s">
        <v>152</v>
      </c>
      <c r="P14" s="271" t="s">
        <v>153</v>
      </c>
      <c r="Q14" s="547"/>
      <c r="R14" s="549"/>
      <c r="S14" s="271" t="s">
        <v>144</v>
      </c>
      <c r="T14" s="265" t="s">
        <v>168</v>
      </c>
      <c r="U14" s="543"/>
      <c r="W14" s="172" t="s">
        <v>170</v>
      </c>
      <c r="X14" s="267" t="s">
        <v>171</v>
      </c>
    </row>
    <row r="15" spans="2:28">
      <c r="C15" s="537" t="s">
        <v>145</v>
      </c>
      <c r="D15" s="180" t="s">
        <v>37</v>
      </c>
      <c r="E15" s="273">
        <f>IFERROR(VLOOKUP(D15,'미니게임_DATA(순)'!$A$5:$EV$38,92,0),0)</f>
        <v>0</v>
      </c>
      <c r="F15" s="273"/>
      <c r="G15" s="526">
        <f>RANK(E19,($E$19,$E$24,$E$29,$E$34,E$39))</f>
        <v>4</v>
      </c>
      <c r="H15" s="526">
        <f>G15</f>
        <v>4</v>
      </c>
      <c r="I15" s="273">
        <f>IFERROR(VLOOKUP(D15,'미니게임_DATA(순)'!$A$5:$EV$38,93,0),0)</f>
        <v>0</v>
      </c>
      <c r="J15" s="273"/>
      <c r="K15" s="526">
        <f>RANK(I19,($I$19,$I$24,$I$29,$I$34,I$39))</f>
        <v>4</v>
      </c>
      <c r="L15" s="526">
        <f>RANK(AA19,($AA$19,$AA$24,$AA$29,$AA$34,$AA$39))</f>
        <v>4</v>
      </c>
      <c r="M15" s="273">
        <f>IFERROR(VLOOKUP(D15,'미니게임_DATA(순)'!$A$5:$EV$38,94,0),0)</f>
        <v>0</v>
      </c>
      <c r="N15" s="273"/>
      <c r="O15" s="526">
        <f>RANK(M19,($M$19,$M$24,$M$29,$M$34,$M$39))</f>
        <v>4</v>
      </c>
      <c r="P15" s="526">
        <f>S15</f>
        <v>4</v>
      </c>
      <c r="Q15" s="273">
        <f t="shared" ref="Q15:Q39" si="0">E15+I15+M15</f>
        <v>0</v>
      </c>
      <c r="R15" s="274">
        <f>AVERAGE(E15,I15,M15)</f>
        <v>0</v>
      </c>
      <c r="S15" s="529">
        <f>RANK(Q19,($Q$19,$Q$24,$Q$29,$Q$34,$Q$39))</f>
        <v>4</v>
      </c>
      <c r="T15" s="541">
        <f>MAX($Q$19,$Q$24,Q$29,Q$34,Q$39)-Q19</f>
        <v>661</v>
      </c>
      <c r="U15" s="184">
        <f>IFERROR(R15-VLOOKUP(D15,'미니게임_DATA(순)'!$A:$FB,MATCH("rct 10g avg",'미니게임_DATA(순)'!$A$3:$FB$3,0),0),0)</f>
        <v>-166.4</v>
      </c>
      <c r="W15" s="185">
        <f t="array" ref="W15">MAX(IF('미니게임_DATA(순)'!$A$5:$A$41=Z15,'미니게임_DATA(순)'!$CN$5:$CP$41))</f>
        <v>0</v>
      </c>
      <c r="X15" s="267">
        <f>R15</f>
        <v>0</v>
      </c>
      <c r="Y15" s="267" t="str">
        <f>VLOOKUP(Z15,'미니게임_DATA(순)'!$A$4:$C$45,3,0)</f>
        <v>남</v>
      </c>
      <c r="Z15" s="187" t="str">
        <f>D15</f>
        <v>최은규</v>
      </c>
    </row>
    <row r="16" spans="2:28">
      <c r="C16" s="538"/>
      <c r="D16" s="188" t="s">
        <v>11</v>
      </c>
      <c r="E16" s="275">
        <f>IFERROR(VLOOKUP(D16,'미니게임_DATA(순)'!$A$5:$EV$38,92,0),0)</f>
        <v>143</v>
      </c>
      <c r="F16" s="275"/>
      <c r="G16" s="527"/>
      <c r="H16" s="527"/>
      <c r="I16" s="275">
        <f>IFERROR(VLOOKUP(D16,'미니게임_DATA(순)'!$A$5:$EV$38,93,0),0)</f>
        <v>142</v>
      </c>
      <c r="J16" s="275"/>
      <c r="K16" s="527"/>
      <c r="L16" s="527"/>
      <c r="M16" s="275">
        <f>IFERROR(VLOOKUP(D16,'미니게임_DATA(순)'!$A$5:$EV$38,94,0),0)</f>
        <v>145</v>
      </c>
      <c r="N16" s="275"/>
      <c r="O16" s="527"/>
      <c r="P16" s="527"/>
      <c r="Q16" s="275">
        <f t="shared" si="0"/>
        <v>430</v>
      </c>
      <c r="R16" s="274">
        <f>AVERAGE(E16,I16,M16)</f>
        <v>143.33333333333334</v>
      </c>
      <c r="S16" s="530"/>
      <c r="T16" s="527"/>
      <c r="U16" s="190">
        <f>IFERROR(R16-VLOOKUP(D16,'미니게임_DATA(순)'!$A:$FB,MATCH("rct 10g avg",'미니게임_DATA(순)'!$A$3:$FB$3,0),0),0)</f>
        <v>-14.766666666666652</v>
      </c>
      <c r="W16" s="185">
        <f t="array" ref="W16">MAX(IF('미니게임_DATA(순)'!$A$5:$A$41=Z16,'미니게임_DATA(순)'!$CN$5:$CP$41))</f>
        <v>145</v>
      </c>
      <c r="X16" s="267">
        <f t="shared" ref="X16:X17" si="1">R16</f>
        <v>143.33333333333334</v>
      </c>
      <c r="Y16" s="267" t="str">
        <f>VLOOKUP(Z16,'미니게임_DATA(순)'!$A$4:$C$45,3,0)</f>
        <v>남</v>
      </c>
      <c r="Z16" s="187" t="str">
        <f>D16</f>
        <v>박용승</v>
      </c>
    </row>
    <row r="17" spans="3:27">
      <c r="C17" s="538"/>
      <c r="D17" s="188" t="s">
        <v>17</v>
      </c>
      <c r="E17" s="275">
        <f>IFERROR(VLOOKUP(D17,'미니게임_DATA(순)'!$A$5:$EV$38,92,0),0)</f>
        <v>149</v>
      </c>
      <c r="F17" s="275"/>
      <c r="G17" s="527"/>
      <c r="H17" s="527"/>
      <c r="I17" s="275">
        <f>IFERROR(VLOOKUP(D17,'미니게임_DATA(순)'!$A$5:$EV$38,93,0),0)</f>
        <v>126</v>
      </c>
      <c r="J17" s="275"/>
      <c r="K17" s="527"/>
      <c r="L17" s="527"/>
      <c r="M17" s="275">
        <f>IFERROR(VLOOKUP(D17,'미니게임_DATA(순)'!$A$5:$EV$38,94,0),0)</f>
        <v>134</v>
      </c>
      <c r="N17" s="275"/>
      <c r="O17" s="527"/>
      <c r="P17" s="527"/>
      <c r="Q17" s="275">
        <f t="shared" si="0"/>
        <v>409</v>
      </c>
      <c r="R17" s="274">
        <f>AVERAGE(E17,I17,M17)</f>
        <v>136.33333333333334</v>
      </c>
      <c r="S17" s="530"/>
      <c r="T17" s="527"/>
      <c r="U17" s="190">
        <f>IFERROR(R17-VLOOKUP(D17,'미니게임_DATA(순)'!$A:$FB,MATCH("rct 10g avg",'미니게임_DATA(순)'!$A$3:$FB$3,0),0),0)</f>
        <v>-10.766666666666652</v>
      </c>
      <c r="W17" s="185">
        <f t="array" ref="W17">MAX(IF('미니게임_DATA(순)'!$A$5:$A$41=Z17,'미니게임_DATA(순)'!$CN$5:$CP$41))</f>
        <v>149</v>
      </c>
      <c r="X17" s="267">
        <f t="shared" si="1"/>
        <v>136.33333333333334</v>
      </c>
      <c r="Y17" s="267" t="str">
        <f>VLOOKUP(Z17,'미니게임_DATA(순)'!$A$4:$C$45,3,0)</f>
        <v>남</v>
      </c>
      <c r="Z17" s="187" t="str">
        <f>D17</f>
        <v>한희용</v>
      </c>
    </row>
    <row r="18" spans="3:27">
      <c r="C18" s="538"/>
      <c r="D18" s="191"/>
      <c r="E18" s="279"/>
      <c r="F18" s="279"/>
      <c r="G18" s="527"/>
      <c r="H18" s="527"/>
      <c r="I18" s="279"/>
      <c r="J18" s="279"/>
      <c r="K18" s="527"/>
      <c r="L18" s="527"/>
      <c r="M18" s="279"/>
      <c r="N18" s="279"/>
      <c r="O18" s="527"/>
      <c r="P18" s="527"/>
      <c r="Q18" s="279">
        <f t="shared" si="0"/>
        <v>0</v>
      </c>
      <c r="R18" s="276">
        <f t="shared" ref="R18" si="2">Q18/3</f>
        <v>0</v>
      </c>
      <c r="S18" s="530"/>
      <c r="T18" s="527"/>
      <c r="U18" s="190">
        <f>IFERROR(R18-VLOOKUP(D18,'미니게임_DATA(순)'!$A:$FB,MATCH("rct 10g avg",'미니게임_DATA(순)'!$A$3:$FB$3,0),0),0)</f>
        <v>0</v>
      </c>
      <c r="W18" s="185"/>
      <c r="Z18" s="187"/>
    </row>
    <row r="19" spans="3:27" ht="16.5">
      <c r="C19" s="539"/>
      <c r="D19" s="193"/>
      <c r="E19" s="535">
        <f>SUMIF(E15:E18, "&gt;0")</f>
        <v>292</v>
      </c>
      <c r="F19" s="498"/>
      <c r="G19" s="528"/>
      <c r="H19" s="528"/>
      <c r="I19" s="535">
        <f>SUMIF(I15:I18, "&gt;0")</f>
        <v>268</v>
      </c>
      <c r="J19" s="498"/>
      <c r="K19" s="528"/>
      <c r="L19" s="528"/>
      <c r="M19" s="535">
        <f>SUMIF(M15:M18, "&gt;0")</f>
        <v>279</v>
      </c>
      <c r="N19" s="498"/>
      <c r="O19" s="528"/>
      <c r="P19" s="528"/>
      <c r="Q19" s="272">
        <f t="shared" si="0"/>
        <v>839</v>
      </c>
      <c r="R19" s="196"/>
      <c r="S19" s="531"/>
      <c r="T19" s="528"/>
      <c r="U19" s="277">
        <f>IFERROR(R19-VLOOKUP(D19,'미니게임_DATA(순)'!$A:$FB,MATCH("rct 10g avg",'미니게임_DATA(순)'!$A$3:$FB$3,0),0),0)</f>
        <v>0</v>
      </c>
      <c r="V19" s="185"/>
      <c r="W19" s="185"/>
      <c r="Z19" s="187">
        <f>D19</f>
        <v>0</v>
      </c>
      <c r="AA19" s="187">
        <f>SUM(E19,I19)</f>
        <v>560</v>
      </c>
    </row>
    <row r="20" spans="3:27">
      <c r="C20" s="537" t="s">
        <v>146</v>
      </c>
      <c r="D20" s="180" t="s">
        <v>8</v>
      </c>
      <c r="E20" s="273">
        <f>IFERROR(VLOOKUP(D20,'미니게임_DATA(순)'!$A$4:$EV$45,92,0),0)</f>
        <v>183</v>
      </c>
      <c r="F20" s="273"/>
      <c r="G20" s="526">
        <f>RANK(E24,($E$19,$E$24,$E$29,$E$34,E$39))</f>
        <v>1</v>
      </c>
      <c r="H20" s="526">
        <f t="shared" ref="H20" si="3">G20</f>
        <v>1</v>
      </c>
      <c r="I20" s="273">
        <f>IFERROR(VLOOKUP(D20,'미니게임_DATA(순)'!$A$4:$EV$45,93,0),0)</f>
        <v>184</v>
      </c>
      <c r="J20" s="273"/>
      <c r="K20" s="526">
        <f>RANK(I24,($I$19,$I$24,$I$29,$I$34,I$39))</f>
        <v>1</v>
      </c>
      <c r="L20" s="526">
        <f>RANK(AA24,($AA$19,$AA$24,$AA$29,$AA$34,$AA$39))</f>
        <v>1</v>
      </c>
      <c r="M20" s="273">
        <f>IFERROR(VLOOKUP(D20,'미니게임_DATA(순)'!$A$4:$EV$45,94,0),0)</f>
        <v>192</v>
      </c>
      <c r="N20" s="273"/>
      <c r="O20" s="526">
        <f>RANK(M24,($M$19,$M$24,$M$29,$M$34,$M$39))</f>
        <v>1</v>
      </c>
      <c r="P20" s="526">
        <f t="shared" ref="P20" si="4">S20</f>
        <v>1</v>
      </c>
      <c r="Q20" s="273">
        <f t="shared" si="0"/>
        <v>559</v>
      </c>
      <c r="R20" s="274">
        <f>AVERAGE(E20,I20,M20)</f>
        <v>186.33333333333334</v>
      </c>
      <c r="S20" s="529">
        <f>RANK(Q24,($Q$19,$Q$24,$Q$29,$Q$34,$Q$39))</f>
        <v>1</v>
      </c>
      <c r="T20" s="532">
        <f>MAX($Q$19,$Q$24,Q$29,Q$34,Q$39)-Q24</f>
        <v>0</v>
      </c>
      <c r="U20" s="184">
        <f>IFERROR(R20-VLOOKUP(D20,'미니게임_DATA(순)'!$A:$FB,MATCH("rct 10g avg",'미니게임_DATA(순)'!$A$3:$FB$3,0),0),0)</f>
        <v>1.0333333333333314</v>
      </c>
      <c r="W20" s="185">
        <f t="array" ref="W20">MAX(IF('미니게임_DATA(순)'!$A$5:$A$41=Z20,'미니게임_DATA(순)'!$CN$5:$CP$41))</f>
        <v>192</v>
      </c>
      <c r="X20" s="267">
        <f>R20</f>
        <v>186.33333333333334</v>
      </c>
      <c r="Y20" s="267" t="str">
        <f>VLOOKUP(Z20,'미니게임_DATA(순)'!$A$4:$C$45,3,0)</f>
        <v>남</v>
      </c>
      <c r="Z20" s="187" t="str">
        <f>D20</f>
        <v>조문수</v>
      </c>
    </row>
    <row r="21" spans="3:27">
      <c r="C21" s="538"/>
      <c r="D21" s="188" t="s">
        <v>10</v>
      </c>
      <c r="E21" s="275">
        <f>IFERROR(VLOOKUP(D21,'미니게임_DATA(순)'!$A$5:$EV$38,92,0),0)</f>
        <v>156</v>
      </c>
      <c r="F21" s="275"/>
      <c r="G21" s="527"/>
      <c r="H21" s="527"/>
      <c r="I21" s="275">
        <f>IFERROR(VLOOKUP(D21,'미니게임_DATA(순)'!$A$5:$EV$38,93,0),0)</f>
        <v>149</v>
      </c>
      <c r="J21" s="275"/>
      <c r="K21" s="527"/>
      <c r="L21" s="527"/>
      <c r="M21" s="275">
        <f>IFERROR(VLOOKUP(D21,'미니게임_DATA(순)'!$A$5:$EV$38,94,0),0)</f>
        <v>162</v>
      </c>
      <c r="N21" s="275"/>
      <c r="O21" s="527"/>
      <c r="P21" s="527"/>
      <c r="Q21" s="275">
        <f t="shared" si="0"/>
        <v>467</v>
      </c>
      <c r="R21" s="274">
        <f>AVERAGE(E21,I21,M21)</f>
        <v>155.66666666666666</v>
      </c>
      <c r="S21" s="530"/>
      <c r="T21" s="533"/>
      <c r="U21" s="190">
        <f>IFERROR(R21-VLOOKUP(D21,'미니게임_DATA(순)'!$A:$FB,MATCH("rct 10g avg",'미니게임_DATA(순)'!$A$3:$FB$3,0),0),0)</f>
        <v>2.2666666666666515</v>
      </c>
      <c r="W21" s="185">
        <f t="array" ref="W21">MAX(IF('미니게임_DATA(순)'!$A$5:$A$41=Z21,'미니게임_DATA(순)'!$CN$5:$CP$41))</f>
        <v>162</v>
      </c>
      <c r="X21" s="267">
        <f>R21</f>
        <v>155.66666666666666</v>
      </c>
      <c r="Y21" s="267" t="str">
        <f>VLOOKUP(Z21,'미니게임_DATA(순)'!$A$4:$C$45,3,0)</f>
        <v>남</v>
      </c>
      <c r="Z21" s="187" t="str">
        <f>D21</f>
        <v>김신철</v>
      </c>
    </row>
    <row r="22" spans="3:27">
      <c r="C22" s="538"/>
      <c r="D22" s="188" t="s">
        <v>281</v>
      </c>
      <c r="E22" s="275">
        <f>IFERROR(VLOOKUP(D22,'미니게임_DATA(순)'!$A$5:$EV$38,92,0),0)</f>
        <v>121</v>
      </c>
      <c r="F22" s="275">
        <v>8</v>
      </c>
      <c r="G22" s="527"/>
      <c r="H22" s="527"/>
      <c r="I22" s="275">
        <f>IFERROR(VLOOKUP(D22,'미니게임_DATA(순)'!$A$5:$EV$38,93,0),0)</f>
        <v>158</v>
      </c>
      <c r="J22" s="275">
        <v>8</v>
      </c>
      <c r="K22" s="527"/>
      <c r="L22" s="527"/>
      <c r="M22" s="275">
        <f>IFERROR(VLOOKUP(D22,'미니게임_DATA(순)'!$A$5:$EV$38,94,0),0)</f>
        <v>171</v>
      </c>
      <c r="N22" s="275">
        <v>8</v>
      </c>
      <c r="O22" s="527"/>
      <c r="P22" s="527"/>
      <c r="Q22" s="275">
        <f t="shared" si="0"/>
        <v>450</v>
      </c>
      <c r="R22" s="274">
        <f>AVERAGE(E22,I22,M22)</f>
        <v>150</v>
      </c>
      <c r="S22" s="530"/>
      <c r="T22" s="533"/>
      <c r="U22" s="190">
        <f>IFERROR(R22-VLOOKUP(D22,'미니게임_DATA(순)'!$A:$FB,MATCH("rct 10g avg",'미니게임_DATA(순)'!$A$3:$FB$3,0),0),0)</f>
        <v>-19.099999999999994</v>
      </c>
      <c r="W22" s="185">
        <f t="array" ref="W22">MAX(IF('미니게임_DATA(순)'!$A$5:$A$41=Z22,'미니게임_DATA(순)'!$CN$5:$CP$41))</f>
        <v>171</v>
      </c>
      <c r="X22" s="267">
        <f>R22</f>
        <v>150</v>
      </c>
      <c r="Y22" s="267" t="str">
        <f>VLOOKUP(Z22,'미니게임_DATA(순)'!$A$4:$C$45,3,0)</f>
        <v>여</v>
      </c>
      <c r="Z22" s="187" t="str">
        <f>D22</f>
        <v>오수인</v>
      </c>
    </row>
    <row r="23" spans="3:27">
      <c r="C23" s="538"/>
      <c r="D23" s="188"/>
      <c r="E23" s="279"/>
      <c r="F23" s="279"/>
      <c r="G23" s="527"/>
      <c r="H23" s="527"/>
      <c r="I23" s="279"/>
      <c r="J23" s="279"/>
      <c r="K23" s="527"/>
      <c r="L23" s="527"/>
      <c r="M23" s="279"/>
      <c r="N23" s="279"/>
      <c r="O23" s="527"/>
      <c r="P23" s="527"/>
      <c r="Q23" s="279">
        <f t="shared" si="0"/>
        <v>0</v>
      </c>
      <c r="R23" s="276">
        <f t="shared" ref="R23" si="5">Q23/3</f>
        <v>0</v>
      </c>
      <c r="S23" s="530"/>
      <c r="T23" s="533"/>
      <c r="U23" s="190">
        <f>IFERROR(R23-VLOOKUP(D23,'미니게임_DATA(순)'!$A:$FB,MATCH("rct 10g avg",'미니게임_DATA(순)'!$A$3:$FB$3,0),0),0)</f>
        <v>0</v>
      </c>
      <c r="W23" s="185"/>
      <c r="Z23" s="187"/>
    </row>
    <row r="24" spans="3:27" ht="16.5">
      <c r="C24" s="539"/>
      <c r="D24" s="193"/>
      <c r="E24" s="535">
        <f>SUMIF(E20:F23, "&gt;0")</f>
        <v>468</v>
      </c>
      <c r="F24" s="498"/>
      <c r="G24" s="528"/>
      <c r="H24" s="528"/>
      <c r="I24" s="535">
        <f>SUMIF(I20:J23, "&gt;0")</f>
        <v>499</v>
      </c>
      <c r="J24" s="498"/>
      <c r="K24" s="528"/>
      <c r="L24" s="528"/>
      <c r="M24" s="535">
        <f>SUMIF(M20:N23, "&gt;0")</f>
        <v>533</v>
      </c>
      <c r="N24" s="498"/>
      <c r="O24" s="528"/>
      <c r="P24" s="528"/>
      <c r="Q24" s="272">
        <f t="shared" si="0"/>
        <v>1500</v>
      </c>
      <c r="R24" s="196"/>
      <c r="S24" s="531"/>
      <c r="T24" s="534"/>
      <c r="U24" s="277">
        <f>IFERROR(R24-VLOOKUP(D24,'미니게임_DATA(순)'!$A:$FB,MATCH("rct 10g avg",'미니게임_DATA(순)'!$A$3:$FB$3,0),0),0)</f>
        <v>0</v>
      </c>
      <c r="V24" s="185"/>
      <c r="W24" s="185"/>
      <c r="Z24" s="187">
        <f>D24</f>
        <v>0</v>
      </c>
      <c r="AA24" s="187">
        <f>SUM(E24,I24)</f>
        <v>967</v>
      </c>
    </row>
    <row r="25" spans="3:27">
      <c r="C25" s="537" t="s">
        <v>147</v>
      </c>
      <c r="D25" s="180" t="s">
        <v>13</v>
      </c>
      <c r="E25" s="273">
        <f>IFERROR(VLOOKUP(D25,'미니게임_DATA(순)'!$A$5:$EV$38,92,0),0)</f>
        <v>203</v>
      </c>
      <c r="F25" s="273"/>
      <c r="G25" s="526">
        <f>RANK(E29,($E$19,$E$24,$E$29,$E$34,E$39))</f>
        <v>3</v>
      </c>
      <c r="H25" s="526">
        <f t="shared" ref="H25" si="6">G25</f>
        <v>3</v>
      </c>
      <c r="I25" s="273">
        <f>IFERROR(VLOOKUP(D25,'미니게임_DATA(순)'!$A$5:$EV$38,93,0),0)</f>
        <v>176</v>
      </c>
      <c r="J25" s="273"/>
      <c r="K25" s="526">
        <f>RANK(I29,($I$19,$I$24,$I$29,$I$34,I$39))</f>
        <v>3</v>
      </c>
      <c r="L25" s="526">
        <f>RANK(AA29,($AA$19,$AA$24,$AA$29,$AA$34,$AA$39))</f>
        <v>3</v>
      </c>
      <c r="M25" s="273">
        <f>IFERROR(VLOOKUP(D25,'미니게임_DATA(순)'!$A$5:$EV$38,94,0),0)</f>
        <v>150</v>
      </c>
      <c r="N25" s="273"/>
      <c r="O25" s="526">
        <f>RANK(M29,($M$19,$M$24,$M$29,$M$34,$M$39))</f>
        <v>3</v>
      </c>
      <c r="P25" s="526">
        <f t="shared" ref="P25" si="7">S25</f>
        <v>3</v>
      </c>
      <c r="Q25" s="273">
        <f t="shared" si="0"/>
        <v>529</v>
      </c>
      <c r="R25" s="274">
        <f>AVERAGE(E25,I25,M25)</f>
        <v>176.33333333333334</v>
      </c>
      <c r="S25" s="529">
        <f>RANK(Q29,($Q$19,$Q$24,$Q$29,$Q$34,$Q$39))</f>
        <v>3</v>
      </c>
      <c r="T25" s="532">
        <f>MAX($Q$19,$Q$24,Q$29,Q$34,Q$39)-Q29</f>
        <v>433</v>
      </c>
      <c r="U25" s="184">
        <f>IFERROR(R25-VLOOKUP(D25,'미니게임_DATA(순)'!$A:$FB,MATCH("rct 10g avg",'미니게임_DATA(순)'!$A$3:$FB$3,0),0),0)</f>
        <v>17.133333333333354</v>
      </c>
      <c r="W25" s="185">
        <f t="array" ref="W25">MAX(IF('미니게임_DATA(순)'!$A$5:$A$41=Z25,'미니게임_DATA(순)'!$CN$5:$CP$41))</f>
        <v>203</v>
      </c>
      <c r="X25" s="267">
        <f>R25</f>
        <v>176.33333333333334</v>
      </c>
      <c r="Y25" s="267" t="str">
        <f>VLOOKUP(Z25,'미니게임_DATA(순)'!$A$4:$C$45,3,0)</f>
        <v>남</v>
      </c>
      <c r="Z25" s="187" t="str">
        <f>D25</f>
        <v>정동현</v>
      </c>
    </row>
    <row r="26" spans="3:27">
      <c r="C26" s="538"/>
      <c r="D26" s="188" t="s">
        <v>9</v>
      </c>
      <c r="E26" s="275">
        <f>IFERROR(VLOOKUP(D26,'미니게임_DATA(순)'!$A$5:$EV$38,92,0),0)</f>
        <v>189</v>
      </c>
      <c r="F26" s="275"/>
      <c r="G26" s="527"/>
      <c r="H26" s="527"/>
      <c r="I26" s="275">
        <f>IFERROR(VLOOKUP(D26,'미니게임_DATA(순)'!$A$5:$EV$38,93,0),0)</f>
        <v>179</v>
      </c>
      <c r="J26" s="275"/>
      <c r="K26" s="527"/>
      <c r="L26" s="527"/>
      <c r="M26" s="275">
        <f>IFERROR(VLOOKUP(D26,'미니게임_DATA(순)'!$A$5:$EV$38,94,0),0)</f>
        <v>161</v>
      </c>
      <c r="N26" s="275"/>
      <c r="O26" s="527"/>
      <c r="P26" s="527"/>
      <c r="Q26" s="275">
        <f t="shared" si="0"/>
        <v>529</v>
      </c>
      <c r="R26" s="274">
        <f>AVERAGE(E26,I26,M26)</f>
        <v>176.33333333333334</v>
      </c>
      <c r="S26" s="530"/>
      <c r="T26" s="533"/>
      <c r="U26" s="190">
        <f>IFERROR(R26-VLOOKUP(D26,'미니게임_DATA(순)'!$A:$FB,MATCH("rct 10g avg",'미니게임_DATA(순)'!$A$3:$FB$3,0),0),0)</f>
        <v>15.133333333333354</v>
      </c>
      <c r="W26" s="185">
        <f t="array" ref="W26">MAX(IF('미니게임_DATA(순)'!$A$5:$A$41=Z26,'미니게임_DATA(순)'!$CN$5:$CP$41))</f>
        <v>189</v>
      </c>
      <c r="X26" s="267">
        <f>R26</f>
        <v>176.33333333333334</v>
      </c>
      <c r="Y26" s="267" t="str">
        <f>VLOOKUP(Z26,'미니게임_DATA(순)'!$A$4:$C$45,3,0)</f>
        <v>남</v>
      </c>
      <c r="Z26" s="187" t="str">
        <f>D26</f>
        <v>백동민</v>
      </c>
    </row>
    <row r="27" spans="3:27">
      <c r="C27" s="538"/>
      <c r="D27" s="188" t="s">
        <v>40</v>
      </c>
      <c r="E27" s="275">
        <f>IFERROR(VLOOKUP(D27,'미니게임_DATA(순)'!$A$4:$EV$45,92,0),0)</f>
        <v>0</v>
      </c>
      <c r="F27" s="275">
        <v>3</v>
      </c>
      <c r="G27" s="527"/>
      <c r="H27" s="527"/>
      <c r="I27" s="275">
        <f>IFERROR(VLOOKUP(D27,'미니게임_DATA(순)'!$A$4:$EV$45,93,0),0)</f>
        <v>0</v>
      </c>
      <c r="J27" s="275">
        <v>3</v>
      </c>
      <c r="K27" s="527"/>
      <c r="L27" s="527"/>
      <c r="M27" s="275">
        <f>IFERROR(VLOOKUP(D27,'미니게임_DATA(순)'!$A$4:$EV$45,94,0),0)</f>
        <v>0</v>
      </c>
      <c r="N27" s="275">
        <v>3</v>
      </c>
      <c r="O27" s="527"/>
      <c r="P27" s="527"/>
      <c r="Q27" s="275">
        <f t="shared" si="0"/>
        <v>0</v>
      </c>
      <c r="R27" s="274">
        <f>AVERAGE(E27,I27,M27)</f>
        <v>0</v>
      </c>
      <c r="S27" s="530"/>
      <c r="T27" s="533"/>
      <c r="U27" s="190">
        <f>IFERROR(R27-VLOOKUP(D27,'미니게임_DATA(순)'!$A:$FB,MATCH("rct 10g avg",'미니게임_DATA(순)'!$A$3:$FB$3,0),0),0)</f>
        <v>-136.19999999999999</v>
      </c>
      <c r="W27" s="185">
        <f t="array" ref="W27">MAX(IF('미니게임_DATA(순)'!$A$5:$A$41=Z27,'미니게임_DATA(순)'!$CN$5:$CP$41))</f>
        <v>0</v>
      </c>
      <c r="X27" s="267">
        <f>R27</f>
        <v>0</v>
      </c>
      <c r="Y27" s="267" t="e">
        <f>VLOOKUP(Z27,'미니게임_DATA(순)'!$A$4:$C$45,3,0)</f>
        <v>#N/A</v>
      </c>
      <c r="Z27" s="187" t="str">
        <f>D27</f>
        <v>조연희</v>
      </c>
    </row>
    <row r="28" spans="3:27">
      <c r="C28" s="538"/>
      <c r="D28" s="188"/>
      <c r="E28" s="279">
        <f>IFERROR(VLOOKUP(D28,미니게임_DATA!$A:$GT,6,0),0)</f>
        <v>0</v>
      </c>
      <c r="F28" s="279"/>
      <c r="G28" s="527"/>
      <c r="H28" s="527"/>
      <c r="I28" s="279">
        <f>IFERROR(VLOOKUP(D28,미니게임_DATA!$A:$GT,7,0),0)</f>
        <v>0</v>
      </c>
      <c r="J28" s="279"/>
      <c r="K28" s="527"/>
      <c r="L28" s="527"/>
      <c r="M28" s="279">
        <f>IFERROR(VLOOKUP(D28,미니게임_DATA!$A:$GT,8,0),0)</f>
        <v>0</v>
      </c>
      <c r="N28" s="279"/>
      <c r="O28" s="527"/>
      <c r="P28" s="527"/>
      <c r="Q28" s="279">
        <f t="shared" si="0"/>
        <v>0</v>
      </c>
      <c r="R28" s="276">
        <f t="shared" ref="R28" si="8">Q28/3</f>
        <v>0</v>
      </c>
      <c r="S28" s="530"/>
      <c r="T28" s="533"/>
      <c r="U28" s="190">
        <f>IFERROR(R28-VLOOKUP(D28,'미니게임_DATA(순)'!$A:$FB,MATCH("rct 10g avg",'미니게임_DATA(순)'!$A$3:$FB$3,0),0),0)</f>
        <v>0</v>
      </c>
      <c r="W28" s="185"/>
      <c r="Z28" s="187"/>
    </row>
    <row r="29" spans="3:27" ht="16.5">
      <c r="C29" s="539"/>
      <c r="D29" s="193"/>
      <c r="E29" s="535">
        <f>SUMIF(E25:F28, "&gt;0")</f>
        <v>395</v>
      </c>
      <c r="F29" s="498"/>
      <c r="G29" s="528"/>
      <c r="H29" s="528"/>
      <c r="I29" s="535">
        <f>SUMIF(I25:J28, "&gt;0")</f>
        <v>358</v>
      </c>
      <c r="J29" s="498"/>
      <c r="K29" s="528"/>
      <c r="L29" s="528"/>
      <c r="M29" s="535">
        <f>SUMIF(M25:N28, "&gt;0")</f>
        <v>314</v>
      </c>
      <c r="N29" s="498"/>
      <c r="O29" s="528"/>
      <c r="P29" s="528"/>
      <c r="Q29" s="272">
        <f t="shared" si="0"/>
        <v>1067</v>
      </c>
      <c r="R29" s="196"/>
      <c r="S29" s="531"/>
      <c r="T29" s="534"/>
      <c r="U29" s="277">
        <f>IFERROR(R29-VLOOKUP(D29,'미니게임_DATA(순)'!$A:$FB,MATCH("rct 10g avg",'미니게임_DATA(순)'!$A$3:$FB$3,0),0),0)</f>
        <v>0</v>
      </c>
      <c r="V29" s="185"/>
      <c r="W29" s="185"/>
      <c r="Z29" s="187">
        <f>D29</f>
        <v>0</v>
      </c>
      <c r="AA29" s="187">
        <f>SUM(E29,I29)</f>
        <v>753</v>
      </c>
    </row>
    <row r="30" spans="3:27">
      <c r="C30" s="537" t="s">
        <v>148</v>
      </c>
      <c r="D30" s="180" t="s">
        <v>38</v>
      </c>
      <c r="E30" s="273">
        <f>IFERROR(VLOOKUP(D30,'미니게임_DATA(순)'!$A$5:$EV$38,92,0),0)</f>
        <v>155</v>
      </c>
      <c r="F30" s="273"/>
      <c r="G30" s="526">
        <f>RANK(E34,($E$19,$E$24,$E$29,$E$34,$E$39))</f>
        <v>2</v>
      </c>
      <c r="H30" s="526">
        <f t="shared" ref="H30" si="9">G30</f>
        <v>2</v>
      </c>
      <c r="I30" s="273">
        <f>IFERROR(VLOOKUP(D30,'미니게임_DATA(순)'!$A$5:$EV$38,93,0),0)</f>
        <v>170</v>
      </c>
      <c r="J30" s="273"/>
      <c r="K30" s="526">
        <f>RANK(I34,($I$19,$I$24,$I$29,$I$34,I$39))</f>
        <v>2</v>
      </c>
      <c r="L30" s="526">
        <f>RANK(AA34,($AA$19,$AA$24,$AA$29,$AA$34,$AA$39))</f>
        <v>2</v>
      </c>
      <c r="M30" s="273">
        <f>IFERROR(VLOOKUP(D30,'미니게임_DATA(순)'!$A$5:$EV$38,94,0),0)</f>
        <v>165</v>
      </c>
      <c r="N30" s="273"/>
      <c r="O30" s="526">
        <f>RANK(M34,($M$19,$M$24,$M$29,$M$34,$M$39))</f>
        <v>2</v>
      </c>
      <c r="P30" s="526">
        <f t="shared" ref="P30" si="10">S30</f>
        <v>2</v>
      </c>
      <c r="Q30" s="273">
        <f t="shared" si="0"/>
        <v>490</v>
      </c>
      <c r="R30" s="274">
        <f>AVERAGE(E30,I30,M30)</f>
        <v>163.33333333333334</v>
      </c>
      <c r="S30" s="529">
        <f>RANK(Q34,($Q$19,$Q$24,$Q$29,$Q$34,$Q$39))</f>
        <v>2</v>
      </c>
      <c r="T30" s="532">
        <f>MAX($Q$19,$Q$24,Q$29,Q$34,Q$39)-Q34</f>
        <v>145</v>
      </c>
      <c r="U30" s="184">
        <f>IFERROR(R30-VLOOKUP(D30,'미니게임_DATA(순)'!$A:$FB,MATCH("rct 10g avg",'미니게임_DATA(순)'!$A$3:$FB$3,0),0),0)</f>
        <v>1.6333333333333542</v>
      </c>
      <c r="W30" s="185">
        <f t="array" ref="W30">MAX(IF('미니게임_DATA(순)'!$A$5:$A$41=Z30,'미니게임_DATA(순)'!$CN$5:$CP$41))</f>
        <v>170</v>
      </c>
      <c r="X30" s="267">
        <f>R30</f>
        <v>163.33333333333334</v>
      </c>
      <c r="Y30" s="267" t="str">
        <f>VLOOKUP(Z30,'미니게임_DATA(순)'!$A$4:$C$45,3,0)</f>
        <v>남</v>
      </c>
      <c r="Z30" s="187" t="str">
        <f>D30</f>
        <v>이수용</v>
      </c>
    </row>
    <row r="31" spans="3:27">
      <c r="C31" s="538"/>
      <c r="D31" s="188" t="s">
        <v>14</v>
      </c>
      <c r="E31" s="275">
        <f>IFERROR(VLOOKUP(D31,'미니게임_DATA(순)'!$A$5:$EV$38,92,0),0)</f>
        <v>131</v>
      </c>
      <c r="F31" s="275"/>
      <c r="G31" s="527"/>
      <c r="H31" s="527"/>
      <c r="I31" s="275">
        <f>IFERROR(VLOOKUP(D31,'미니게임_DATA(순)'!$A$5:$EV$38,93,0),0)</f>
        <v>164</v>
      </c>
      <c r="J31" s="275"/>
      <c r="K31" s="527"/>
      <c r="L31" s="527"/>
      <c r="M31" s="275">
        <f>IFERROR(VLOOKUP(D31,'미니게임_DATA(순)'!$A$5:$EV$38,94,0),0)</f>
        <v>178</v>
      </c>
      <c r="N31" s="275"/>
      <c r="O31" s="527"/>
      <c r="P31" s="527"/>
      <c r="Q31" s="275">
        <f t="shared" si="0"/>
        <v>473</v>
      </c>
      <c r="R31" s="274">
        <f>AVERAGE(E31,I31,M31)</f>
        <v>157.66666666666666</v>
      </c>
      <c r="S31" s="530"/>
      <c r="T31" s="533"/>
      <c r="U31" s="190">
        <f>IFERROR(R31-VLOOKUP(D31,'미니게임_DATA(순)'!$A:$FB,MATCH("rct 10g avg",'미니게임_DATA(순)'!$A$3:$FB$3,0),0),0)</f>
        <v>-4.5333333333333314</v>
      </c>
      <c r="W31" s="185">
        <f t="array" ref="W31">MAX(IF('미니게임_DATA(순)'!$A$5:$A$41=Z31,'미니게임_DATA(순)'!$CN$5:$CP$41))</f>
        <v>178</v>
      </c>
      <c r="X31" s="267">
        <f>R31</f>
        <v>157.66666666666666</v>
      </c>
      <c r="Y31" s="267" t="str">
        <f>VLOOKUP(Z31,'미니게임_DATA(순)'!$A$4:$C$45,3,0)</f>
        <v>남</v>
      </c>
      <c r="Z31" s="187" t="str">
        <f>D31</f>
        <v>채승엽</v>
      </c>
    </row>
    <row r="32" spans="3:27">
      <c r="C32" s="538"/>
      <c r="D32" s="188" t="s">
        <v>22</v>
      </c>
      <c r="E32" s="275">
        <f>IFERROR(VLOOKUP(D32,'미니게임_DATA(순)'!$A$5:$EV$38,92,0),0)</f>
        <v>144</v>
      </c>
      <c r="F32" s="275"/>
      <c r="G32" s="527"/>
      <c r="H32" s="527"/>
      <c r="I32" s="275">
        <f>IFERROR(VLOOKUP(D32,'미니게임_DATA(순)'!$A$5:$EV$38,93,0),0)</f>
        <v>115</v>
      </c>
      <c r="J32" s="275"/>
      <c r="K32" s="527"/>
      <c r="L32" s="527"/>
      <c r="M32" s="275">
        <f>IFERROR(VLOOKUP(D32,'미니게임_DATA(순)'!$A$5:$EV$38,94,0),0)</f>
        <v>133</v>
      </c>
      <c r="N32" s="275"/>
      <c r="O32" s="527"/>
      <c r="P32" s="527"/>
      <c r="Q32" s="275">
        <f t="shared" si="0"/>
        <v>392</v>
      </c>
      <c r="R32" s="274">
        <f>AVERAGE(E32,I32,M32)</f>
        <v>130.66666666666666</v>
      </c>
      <c r="S32" s="530"/>
      <c r="T32" s="533"/>
      <c r="U32" s="190">
        <f>IFERROR(R32-VLOOKUP(D32,'미니게임_DATA(순)'!$A:$FB,MATCH("rct 10g avg",'미니게임_DATA(순)'!$A$3:$FB$3,0),0),0)</f>
        <v>-12.733333333333348</v>
      </c>
      <c r="W32" s="185">
        <f t="array" ref="W32">MAX(IF('미니게임_DATA(순)'!$A$5:$A$41=Z32,'미니게임_DATA(순)'!$CN$5:$CP$41))</f>
        <v>144</v>
      </c>
      <c r="X32" s="267">
        <f>R32</f>
        <v>130.66666666666666</v>
      </c>
      <c r="Y32" s="267" t="str">
        <f>VLOOKUP(Z32,'미니게임_DATA(순)'!$A$4:$C$45,3,0)</f>
        <v>남</v>
      </c>
      <c r="Z32" s="187" t="str">
        <f>D32</f>
        <v>이강은</v>
      </c>
    </row>
    <row r="33" spans="2:28">
      <c r="C33" s="538"/>
      <c r="D33" s="188"/>
      <c r="E33" s="279"/>
      <c r="F33" s="279"/>
      <c r="G33" s="527"/>
      <c r="H33" s="527"/>
      <c r="I33" s="279"/>
      <c r="J33" s="279"/>
      <c r="K33" s="527"/>
      <c r="L33" s="527"/>
      <c r="M33" s="279">
        <f>IFERROR(VLOOKUP(D33,'미니게임_DATA(순)'!$A$5:$BU$38,73,0),0)</f>
        <v>0</v>
      </c>
      <c r="N33" s="279"/>
      <c r="O33" s="527"/>
      <c r="P33" s="527"/>
      <c r="Q33" s="279">
        <f t="shared" si="0"/>
        <v>0</v>
      </c>
      <c r="R33" s="276">
        <f t="shared" ref="R33" si="11">Q33/3</f>
        <v>0</v>
      </c>
      <c r="S33" s="530"/>
      <c r="T33" s="533"/>
      <c r="U33" s="190">
        <f>IFERROR(R33-VLOOKUP(D33,'미니게임_DATA(순)'!$A:$FB,MATCH("rct 10g avg",'미니게임_DATA(순)'!$A$3:$FB$3,0),0),0)</f>
        <v>0</v>
      </c>
      <c r="W33" s="185"/>
      <c r="Z33" s="187"/>
    </row>
    <row r="34" spans="2:28" ht="16.5">
      <c r="C34" s="539"/>
      <c r="D34" s="193"/>
      <c r="E34" s="535">
        <f t="shared" ref="E34" si="12">SUMIF(E30:E33, "&gt;0")</f>
        <v>430</v>
      </c>
      <c r="F34" s="498"/>
      <c r="G34" s="528"/>
      <c r="H34" s="528"/>
      <c r="I34" s="535">
        <f t="shared" ref="I34" si="13">SUMIF(I30:I33, "&gt;0")</f>
        <v>449</v>
      </c>
      <c r="J34" s="498"/>
      <c r="K34" s="528"/>
      <c r="L34" s="528"/>
      <c r="M34" s="535">
        <f>SUMIF(M30:M33, "&gt;0")</f>
        <v>476</v>
      </c>
      <c r="N34" s="498"/>
      <c r="O34" s="528"/>
      <c r="P34" s="528"/>
      <c r="Q34" s="272">
        <f t="shared" si="0"/>
        <v>1355</v>
      </c>
      <c r="R34" s="196"/>
      <c r="S34" s="531"/>
      <c r="T34" s="534"/>
      <c r="U34" s="277">
        <f>IFERROR(R34-VLOOKUP(D34,'미니게임_DATA(순)'!$A:$FB,MATCH("rct 10g avg",'미니게임_DATA(순)'!$A$3:$FB$3,0),0),0)</f>
        <v>0</v>
      </c>
      <c r="V34" s="185"/>
      <c r="W34" s="185"/>
      <c r="Z34" s="187">
        <f>D34</f>
        <v>0</v>
      </c>
      <c r="AA34" s="187">
        <f>SUM(E34,I34)</f>
        <v>879</v>
      </c>
    </row>
    <row r="35" spans="2:28">
      <c r="C35" s="537" t="s">
        <v>149</v>
      </c>
      <c r="D35" s="180"/>
      <c r="E35" s="273">
        <f>IFERROR(VLOOKUP(D35,'미니게임_DATA(순)'!$A$5:$EV$38,89,0),0)</f>
        <v>0</v>
      </c>
      <c r="F35" s="273"/>
      <c r="G35" s="526"/>
      <c r="H35" s="526"/>
      <c r="I35" s="273">
        <f>IFERROR(VLOOKUP(D35,'미니게임_DATA(순)'!$A$5:$EV$38,90,0),0)</f>
        <v>0</v>
      </c>
      <c r="J35" s="273"/>
      <c r="K35" s="526"/>
      <c r="L35" s="526"/>
      <c r="M35" s="273">
        <f>IFERROR(VLOOKUP(D35,'미니게임_DATA(순)'!$A$5:$EV$38,91,0),0)</f>
        <v>0</v>
      </c>
      <c r="N35" s="273"/>
      <c r="O35" s="526"/>
      <c r="P35" s="526"/>
      <c r="Q35" s="273">
        <f t="shared" si="0"/>
        <v>0</v>
      </c>
      <c r="R35" s="274">
        <f>Q35/3</f>
        <v>0</v>
      </c>
      <c r="S35" s="529"/>
      <c r="T35" s="532"/>
      <c r="U35" s="184">
        <f>IFERROR(R35-VLOOKUP(D35,'미니게임_DATA(순)'!$A:$FB,MATCH("rct 10g avg",'미니게임_DATA(순)'!$A$3:$FB$3,0),0),0)</f>
        <v>0</v>
      </c>
      <c r="W35" s="185"/>
      <c r="Z35" s="187"/>
    </row>
    <row r="36" spans="2:28" s="172" customFormat="1">
      <c r="B36" s="169"/>
      <c r="C36" s="538"/>
      <c r="D36" s="188"/>
      <c r="E36" s="275">
        <f>IFERROR(VLOOKUP(D36,'미니게임_DATA(순)'!$A$5:$EV$38,89,0),0)</f>
        <v>0</v>
      </c>
      <c r="F36" s="275"/>
      <c r="G36" s="527"/>
      <c r="H36" s="527"/>
      <c r="I36" s="275">
        <f>IFERROR(VLOOKUP(D36,'미니게임_DATA(순)'!$A$5:$EV$38,90,0),0)</f>
        <v>0</v>
      </c>
      <c r="J36" s="275"/>
      <c r="K36" s="527"/>
      <c r="L36" s="527"/>
      <c r="M36" s="275">
        <f>IFERROR(VLOOKUP(D36,'미니게임_DATA(순)'!$A$5:$EV$38,91,0),0)</f>
        <v>0</v>
      </c>
      <c r="N36" s="275"/>
      <c r="O36" s="527"/>
      <c r="P36" s="527"/>
      <c r="Q36" s="275">
        <f t="shared" si="0"/>
        <v>0</v>
      </c>
      <c r="R36" s="276">
        <f t="shared" ref="R36:R38" si="14">Q36/3</f>
        <v>0</v>
      </c>
      <c r="S36" s="530"/>
      <c r="T36" s="533"/>
      <c r="U36" s="190">
        <f>IFERROR(R36-VLOOKUP(D36,'미니게임_DATA(순)'!$A:$FB,MATCH("rct 10g avg",'미니게임_DATA(순)'!$A$3:$FB$3,0),0),0)</f>
        <v>0</v>
      </c>
      <c r="W36" s="185"/>
      <c r="X36" s="267"/>
      <c r="Y36" s="267"/>
      <c r="Z36" s="187"/>
      <c r="AA36" s="169"/>
      <c r="AB36" s="169"/>
    </row>
    <row r="37" spans="2:28" s="172" customFormat="1">
      <c r="B37" s="169"/>
      <c r="C37" s="538"/>
      <c r="D37" s="188"/>
      <c r="E37" s="275"/>
      <c r="F37" s="275"/>
      <c r="G37" s="527"/>
      <c r="H37" s="527"/>
      <c r="I37" s="275"/>
      <c r="J37" s="275"/>
      <c r="K37" s="527"/>
      <c r="L37" s="527"/>
      <c r="M37" s="275"/>
      <c r="N37" s="275"/>
      <c r="O37" s="527"/>
      <c r="P37" s="527"/>
      <c r="Q37" s="275">
        <f t="shared" si="0"/>
        <v>0</v>
      </c>
      <c r="R37" s="276">
        <f t="shared" si="14"/>
        <v>0</v>
      </c>
      <c r="S37" s="530"/>
      <c r="T37" s="533"/>
      <c r="U37" s="190">
        <f>IFERROR(R37-VLOOKUP(D37,'미니게임_DATA(순)'!$A:$FB,MATCH("rct 10g avg",'미니게임_DATA(순)'!$A$3:$FB$3,0),0),0)</f>
        <v>0</v>
      </c>
      <c r="W37" s="185"/>
      <c r="X37" s="267"/>
      <c r="Y37" s="267"/>
      <c r="Z37" s="187"/>
      <c r="AA37" s="169"/>
      <c r="AB37" s="169"/>
    </row>
    <row r="38" spans="2:28">
      <c r="C38" s="538"/>
      <c r="D38" s="188"/>
      <c r="E38" s="279"/>
      <c r="F38" s="279"/>
      <c r="G38" s="527"/>
      <c r="H38" s="527"/>
      <c r="I38" s="279"/>
      <c r="J38" s="279"/>
      <c r="K38" s="527"/>
      <c r="L38" s="527"/>
      <c r="M38" s="279"/>
      <c r="N38" s="279"/>
      <c r="O38" s="527"/>
      <c r="P38" s="527"/>
      <c r="Q38" s="279">
        <f t="shared" si="0"/>
        <v>0</v>
      </c>
      <c r="R38" s="276">
        <f t="shared" si="14"/>
        <v>0</v>
      </c>
      <c r="S38" s="530"/>
      <c r="T38" s="533"/>
      <c r="U38" s="190">
        <f>IFERROR(R38-VLOOKUP(D38,'미니게임_DATA(순)'!$A:$FB,MATCH("rct 10g avg",'미니게임_DATA(순)'!$A$3:$FB$3,0),0),0)</f>
        <v>0</v>
      </c>
      <c r="W38" s="185"/>
      <c r="Z38" s="187"/>
    </row>
    <row r="39" spans="2:28" ht="16.5">
      <c r="C39" s="539"/>
      <c r="D39" s="193"/>
      <c r="E39" s="535">
        <f>SUMIF(E35:E38, "&gt;0")</f>
        <v>0</v>
      </c>
      <c r="F39" s="498"/>
      <c r="G39" s="528"/>
      <c r="H39" s="528"/>
      <c r="I39" s="535">
        <f t="shared" ref="I39" si="15">SUMIF(I35:I38, "&gt;0")</f>
        <v>0</v>
      </c>
      <c r="J39" s="498"/>
      <c r="K39" s="528"/>
      <c r="L39" s="528"/>
      <c r="M39" s="535">
        <f>SUMIF(M35:M38, "&gt;0")</f>
        <v>0</v>
      </c>
      <c r="N39" s="498"/>
      <c r="O39" s="528"/>
      <c r="P39" s="528"/>
      <c r="Q39" s="272">
        <f t="shared" si="0"/>
        <v>0</v>
      </c>
      <c r="R39" s="278"/>
      <c r="S39" s="531"/>
      <c r="T39" s="534"/>
      <c r="U39" s="277">
        <f>IFERROR(R39-VLOOKUP(D39,'미니게임_DATA(순)'!$A:$FB,MATCH("rct 10g avg",'미니게임_DATA(순)'!$A$3:$FB$3,0),0),0)</f>
        <v>0</v>
      </c>
      <c r="V39" s="185"/>
      <c r="W39" s="185"/>
      <c r="Z39" s="187"/>
      <c r="AA39" s="187"/>
    </row>
  </sheetData>
  <mergeCells count="78">
    <mergeCell ref="E12:P12"/>
    <mergeCell ref="E19:F19"/>
    <mergeCell ref="E24:F24"/>
    <mergeCell ref="E29:F29"/>
    <mergeCell ref="E34:F34"/>
    <mergeCell ref="I34:J34"/>
    <mergeCell ref="I29:J29"/>
    <mergeCell ref="I24:J24"/>
    <mergeCell ref="I19:J19"/>
    <mergeCell ref="M19:N19"/>
    <mergeCell ref="M24:N24"/>
    <mergeCell ref="M29:N29"/>
    <mergeCell ref="M34:N34"/>
    <mergeCell ref="P25:P29"/>
    <mergeCell ref="P15:P19"/>
    <mergeCell ref="P35:P39"/>
    <mergeCell ref="S35:S39"/>
    <mergeCell ref="T35:T39"/>
    <mergeCell ref="G35:G39"/>
    <mergeCell ref="H35:H39"/>
    <mergeCell ref="K35:K39"/>
    <mergeCell ref="L35:L39"/>
    <mergeCell ref="O35:O39"/>
    <mergeCell ref="C35:C39"/>
    <mergeCell ref="E39:F39"/>
    <mergeCell ref="I39:J39"/>
    <mergeCell ref="M39:N39"/>
    <mergeCell ref="O25:O29"/>
    <mergeCell ref="C25:C29"/>
    <mergeCell ref="C30:C34"/>
    <mergeCell ref="S25:S29"/>
    <mergeCell ref="T25:T29"/>
    <mergeCell ref="G30:G34"/>
    <mergeCell ref="H30:H34"/>
    <mergeCell ref="K30:K34"/>
    <mergeCell ref="L30:L34"/>
    <mergeCell ref="O30:O34"/>
    <mergeCell ref="P30:P34"/>
    <mergeCell ref="S30:S34"/>
    <mergeCell ref="T30:T34"/>
    <mergeCell ref="G25:G29"/>
    <mergeCell ref="H25:H29"/>
    <mergeCell ref="K25:K29"/>
    <mergeCell ref="L25:L29"/>
    <mergeCell ref="S15:S19"/>
    <mergeCell ref="T15:T19"/>
    <mergeCell ref="G20:G24"/>
    <mergeCell ref="H20:H24"/>
    <mergeCell ref="K20:K24"/>
    <mergeCell ref="L20:L24"/>
    <mergeCell ref="O20:O24"/>
    <mergeCell ref="P20:P24"/>
    <mergeCell ref="S20:S24"/>
    <mergeCell ref="T20:T24"/>
    <mergeCell ref="C15:C19"/>
    <mergeCell ref="C20:C24"/>
    <mergeCell ref="U12:U14"/>
    <mergeCell ref="E13:H13"/>
    <mergeCell ref="I13:L13"/>
    <mergeCell ref="M13:P13"/>
    <mergeCell ref="G15:G19"/>
    <mergeCell ref="H15:H19"/>
    <mergeCell ref="K15:K19"/>
    <mergeCell ref="L15:L19"/>
    <mergeCell ref="O15:O19"/>
    <mergeCell ref="C12:C14"/>
    <mergeCell ref="D12:D14"/>
    <mergeCell ref="Q12:Q14"/>
    <mergeCell ref="R12:R14"/>
    <mergeCell ref="S12:T13"/>
    <mergeCell ref="B2:B3"/>
    <mergeCell ref="B4:B5"/>
    <mergeCell ref="B6:B10"/>
    <mergeCell ref="D6:E6"/>
    <mergeCell ref="D7:E7"/>
    <mergeCell ref="D8:E8"/>
    <mergeCell ref="D9:E9"/>
    <mergeCell ref="D10:E10"/>
  </mergeCells>
  <phoneticPr fontId="2" type="noConversion"/>
  <conditionalFormatting sqref="G40:H1048576 G1:H14 K1:L14 O1:P11 O40:P1048576 K40:L1048576 O13:P14">
    <cfRule type="cellIs" dxfId="119" priority="5" operator="equal">
      <formula>1</formula>
    </cfRule>
  </conditionalFormatting>
  <conditionalFormatting sqref="P15:P39">
    <cfRule type="cellIs" dxfId="118" priority="3" operator="equal">
      <formula>1</formula>
    </cfRule>
  </conditionalFormatting>
  <conditionalFormatting sqref="G15:H15 G20:H20 H16:H19 G30:H30 H26:H29 G25:H25 H21:H24 G35 H31:H39">
    <cfRule type="cellIs" dxfId="117" priority="4" operator="equal">
      <formula>1</formula>
    </cfRule>
  </conditionalFormatting>
  <conditionalFormatting sqref="K15:L15 K20 K30 K25 K35 L16:L39">
    <cfRule type="cellIs" dxfId="116" priority="2" operator="equal">
      <formula>1</formula>
    </cfRule>
  </conditionalFormatting>
  <conditionalFormatting sqref="O15 O20 O30 O25 O35">
    <cfRule type="cellIs" dxfId="115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9"/>
  <sheetViews>
    <sheetView showGridLines="0" zoomScale="85" zoomScaleNormal="85" workbookViewId="0">
      <selection activeCell="AF23" sqref="AF23"/>
    </sheetView>
  </sheetViews>
  <sheetFormatPr defaultColWidth="9" defaultRowHeight="13.5"/>
  <cols>
    <col min="1" max="5" width="9" style="169"/>
    <col min="6" max="7" width="5.375" style="169" customWidth="1"/>
    <col min="8" max="8" width="9" style="169"/>
    <col min="9" max="10" width="5.375" style="169" customWidth="1"/>
    <col min="11" max="11" width="9" style="169"/>
    <col min="12" max="13" width="5.375" style="169" customWidth="1"/>
    <col min="14" max="14" width="9" style="170"/>
    <col min="15" max="15" width="9.375" style="171" bestFit="1" customWidth="1"/>
    <col min="16" max="18" width="9" style="169"/>
    <col min="19" max="20" width="9" style="172" hidden="1" customWidth="1"/>
    <col min="21" max="23" width="9" style="169" hidden="1" customWidth="1"/>
    <col min="24" max="16384" width="9" style="169"/>
  </cols>
  <sheetData>
    <row r="2" spans="2:24">
      <c r="B2" s="550" t="s">
        <v>154</v>
      </c>
      <c r="C2" s="166" t="s">
        <v>156</v>
      </c>
      <c r="D2" s="167" t="str">
        <f>VLOOKUP(E2,$T$15:$V$39,3,0)</f>
        <v>정동현</v>
      </c>
      <c r="E2" s="168">
        <f t="array" ref="E2">MAX(IF($S$15:$S$39="남",$T$15:$T$39))</f>
        <v>257</v>
      </c>
    </row>
    <row r="3" spans="2:24">
      <c r="B3" s="551"/>
      <c r="C3" s="166" t="s">
        <v>157</v>
      </c>
      <c r="D3" s="167" t="s">
        <v>281</v>
      </c>
      <c r="E3" s="173">
        <f t="array" ref="E3">MAX(IF($S$15:$S$39="여",$T$15:$T$39))</f>
        <v>181</v>
      </c>
    </row>
    <row r="4" spans="2:24">
      <c r="B4" s="550" t="s">
        <v>158</v>
      </c>
      <c r="C4" s="166" t="s">
        <v>156</v>
      </c>
      <c r="D4" s="167" t="str">
        <f>VLOOKUP(E4,$U$15:$V$34,2,0)</f>
        <v>정동현</v>
      </c>
      <c r="E4" s="168">
        <f t="array" ref="E4">MAX(IF($S$15:$S$39="남",$U$15:$U$39))</f>
        <v>189.66666666666666</v>
      </c>
    </row>
    <row r="5" spans="2:24">
      <c r="B5" s="551"/>
      <c r="C5" s="166" t="s">
        <v>157</v>
      </c>
      <c r="D5" s="167" t="str">
        <f>VLOOKUP(E5,$U$15:$V$39,2,0)</f>
        <v>오수인</v>
      </c>
      <c r="E5" s="173">
        <f t="array" ref="E5">MAX(IF($S$15:$S$39="여",$U$15:$U$39))</f>
        <v>169.66666666666666</v>
      </c>
    </row>
    <row r="6" spans="2:24" ht="16.5">
      <c r="B6" s="550" t="s">
        <v>224</v>
      </c>
      <c r="C6" s="235" t="s">
        <v>154</v>
      </c>
      <c r="D6" s="554" t="s">
        <v>298</v>
      </c>
      <c r="E6" s="472"/>
    </row>
    <row r="7" spans="2:24" ht="16.5">
      <c r="B7" s="552"/>
      <c r="C7" s="235" t="s">
        <v>226</v>
      </c>
      <c r="D7" s="554" t="s">
        <v>13</v>
      </c>
      <c r="E7" s="472"/>
    </row>
    <row r="8" spans="2:24" ht="16.5">
      <c r="B8" s="552"/>
      <c r="C8" s="235" t="s">
        <v>88</v>
      </c>
      <c r="D8" s="554" t="s">
        <v>13</v>
      </c>
      <c r="E8" s="498"/>
    </row>
    <row r="9" spans="2:24" ht="16.5">
      <c r="B9" s="557"/>
      <c r="C9" s="235" t="s">
        <v>227</v>
      </c>
      <c r="D9" s="554" t="s">
        <v>239</v>
      </c>
      <c r="E9" s="472"/>
    </row>
    <row r="10" spans="2:24" ht="16.5">
      <c r="B10" s="553"/>
      <c r="C10" s="166" t="s">
        <v>229</v>
      </c>
      <c r="D10" s="554" t="s">
        <v>239</v>
      </c>
      <c r="E10" s="472"/>
    </row>
    <row r="12" spans="2:24" ht="16.5" customHeight="1">
      <c r="C12" s="543" t="s">
        <v>140</v>
      </c>
      <c r="D12" s="543" t="s">
        <v>3</v>
      </c>
      <c r="E12" s="544" t="s">
        <v>141</v>
      </c>
      <c r="F12" s="545"/>
      <c r="G12" s="545"/>
      <c r="H12" s="545"/>
      <c r="I12" s="545"/>
      <c r="J12" s="545"/>
      <c r="K12" s="545"/>
      <c r="L12" s="174"/>
      <c r="M12" s="174"/>
      <c r="N12" s="569" t="s">
        <v>142</v>
      </c>
      <c r="O12" s="572" t="s">
        <v>184</v>
      </c>
      <c r="P12" s="575" t="s">
        <v>169</v>
      </c>
      <c r="Q12" s="576"/>
      <c r="R12" s="540" t="s">
        <v>143</v>
      </c>
    </row>
    <row r="13" spans="2:24">
      <c r="C13" s="543"/>
      <c r="D13" s="543"/>
      <c r="E13" s="544">
        <v>1</v>
      </c>
      <c r="F13" s="545"/>
      <c r="G13" s="560"/>
      <c r="H13" s="544">
        <v>2</v>
      </c>
      <c r="I13" s="545"/>
      <c r="J13" s="560"/>
      <c r="K13" s="544">
        <v>3</v>
      </c>
      <c r="L13" s="545"/>
      <c r="M13" s="560"/>
      <c r="N13" s="570"/>
      <c r="O13" s="573"/>
      <c r="P13" s="577"/>
      <c r="Q13" s="578"/>
      <c r="R13" s="558"/>
      <c r="X13" s="172"/>
    </row>
    <row r="14" spans="2:24" ht="27">
      <c r="C14" s="543"/>
      <c r="D14" s="543"/>
      <c r="E14" s="175" t="s">
        <v>150</v>
      </c>
      <c r="F14" s="176" t="s">
        <v>152</v>
      </c>
      <c r="G14" s="177" t="s">
        <v>153</v>
      </c>
      <c r="H14" s="175" t="s">
        <v>150</v>
      </c>
      <c r="I14" s="176" t="s">
        <v>152</v>
      </c>
      <c r="J14" s="177" t="s">
        <v>153</v>
      </c>
      <c r="K14" s="175" t="s">
        <v>150</v>
      </c>
      <c r="L14" s="176" t="s">
        <v>152</v>
      </c>
      <c r="M14" s="177" t="s">
        <v>153</v>
      </c>
      <c r="N14" s="571"/>
      <c r="O14" s="574"/>
      <c r="P14" s="178" t="s">
        <v>144</v>
      </c>
      <c r="Q14" s="260" t="s">
        <v>168</v>
      </c>
      <c r="R14" s="559"/>
      <c r="T14" s="172" t="s">
        <v>170</v>
      </c>
      <c r="U14" s="169" t="s">
        <v>171</v>
      </c>
    </row>
    <row r="15" spans="2:24">
      <c r="C15" s="561" t="s">
        <v>145</v>
      </c>
      <c r="D15" s="180" t="s">
        <v>8</v>
      </c>
      <c r="E15" s="181">
        <f>IFERROR(VLOOKUP(D15,'미니게임_DATA(순)'!$A$5:$EV$38,89,0),0)</f>
        <v>220</v>
      </c>
      <c r="F15" s="563">
        <f>RANK(E19,($E$19,$E$24,$E$29,$E$34,E$39))</f>
        <v>1</v>
      </c>
      <c r="G15" s="566">
        <f>F15</f>
        <v>1</v>
      </c>
      <c r="H15" s="181">
        <f>IFERROR(VLOOKUP(D15,'미니게임_DATA(순)'!$A$5:$EV$38,90,0),0)</f>
        <v>165</v>
      </c>
      <c r="I15" s="563">
        <f>RANK(H19,($H$19,$H$24,$H$29,$H$34,H$39))</f>
        <v>1</v>
      </c>
      <c r="J15" s="566">
        <f>RANK(W19,($W$19,$W$24,$W$29,$W$34,$W$39))</f>
        <v>1</v>
      </c>
      <c r="K15" s="181">
        <f>IFERROR(VLOOKUP(D15,'미니게임_DATA(순)'!$A$5:$EV$38,91,0),0)</f>
        <v>182</v>
      </c>
      <c r="L15" s="563">
        <f>RANK(K19,($K$19,$K$24,$K$29,$K$34,$K$39))</f>
        <v>2</v>
      </c>
      <c r="M15" s="566">
        <f>P15</f>
        <v>1</v>
      </c>
      <c r="N15" s="181">
        <f>E15+H15+K15</f>
        <v>567</v>
      </c>
      <c r="O15" s="183">
        <f>N15/3</f>
        <v>189</v>
      </c>
      <c r="P15" s="579">
        <f>RANK(N19,($N$19,$N$24,$N$29,$N$34,$N$39))</f>
        <v>1</v>
      </c>
      <c r="Q15" s="586">
        <f>MAX($N$19,$N$24,N$29,N$34,N$39)-N19</f>
        <v>0</v>
      </c>
      <c r="R15" s="184">
        <f>IFERROR(O15-VLOOKUP(D15,'미니게임_DATA(순)'!$A:$FB,MATCH("rct 10g avg",'미니게임_DATA(순)'!$A$3:$FB$3,0),0),0)</f>
        <v>3.6999999999999886</v>
      </c>
      <c r="S15" s="172" t="str">
        <f>VLOOKUP(D15,미니게임_DATA!$A:$BW,MATCH("성별",미니게임_DATA!$A$3:$BW$3,0),0)</f>
        <v>남</v>
      </c>
      <c r="T15" s="185">
        <f>MAX(  E15,H15,K15)</f>
        <v>220</v>
      </c>
      <c r="U15" s="186">
        <f>AVERAGE(E15,H15,K15)</f>
        <v>189</v>
      </c>
      <c r="V15" s="187" t="str">
        <f>D15</f>
        <v>조문수</v>
      </c>
    </row>
    <row r="16" spans="2:24">
      <c r="C16" s="562"/>
      <c r="D16" s="188" t="s">
        <v>11</v>
      </c>
      <c r="E16" s="181">
        <f>IFERROR(VLOOKUP(D16,'미니게임_DATA(순)'!$A$5:$EV$38,89,0),0)</f>
        <v>190</v>
      </c>
      <c r="F16" s="564"/>
      <c r="G16" s="567"/>
      <c r="H16" s="181">
        <f>IFERROR(VLOOKUP(D16,'미니게임_DATA(순)'!$A$5:$EV$38,90,0),0)</f>
        <v>179</v>
      </c>
      <c r="I16" s="564"/>
      <c r="J16" s="567"/>
      <c r="K16" s="181">
        <f>IFERROR(VLOOKUP(D16,'미니게임_DATA(순)'!$A$5:$EV$38,91,0),0)</f>
        <v>171</v>
      </c>
      <c r="L16" s="564"/>
      <c r="M16" s="567"/>
      <c r="N16" s="182">
        <f t="shared" ref="N16:N19" si="0">E16+H16+K16</f>
        <v>540</v>
      </c>
      <c r="O16" s="189">
        <f t="shared" ref="O16:O18" si="1">N16/3</f>
        <v>180</v>
      </c>
      <c r="P16" s="580"/>
      <c r="Q16" s="587"/>
      <c r="R16" s="184">
        <f>IFERROR(O16-VLOOKUP(D16,'미니게임_DATA(순)'!$A:$FB,MATCH("rct 10g avg",'미니게임_DATA(순)'!$A$3:$FB$3,0),0),0)</f>
        <v>21.900000000000006</v>
      </c>
      <c r="S16" s="172" t="str">
        <f>VLOOKUP(D16,미니게임_DATA!$A:$BW,MATCH("성별",미니게임_DATA!$A$3:$BW$3,0),0)</f>
        <v>남</v>
      </c>
      <c r="T16" s="185">
        <f t="shared" ref="T16:T17" si="2">MAX(  E16,H16,K16)</f>
        <v>190</v>
      </c>
      <c r="U16" s="186">
        <f t="shared" ref="U16:U17" si="3">AVERAGE(E16,H16,K16)</f>
        <v>180</v>
      </c>
      <c r="V16" s="187" t="str">
        <f t="shared" ref="V16:V37" si="4">D16</f>
        <v>박용승</v>
      </c>
    </row>
    <row r="17" spans="3:23">
      <c r="C17" s="562"/>
      <c r="D17" s="188" t="s">
        <v>282</v>
      </c>
      <c r="E17" s="181">
        <f>IFERROR(VLOOKUP(D17,'미니게임_DATA(순)'!$A$5:$EV$38,89,0),0)+3</f>
        <v>121</v>
      </c>
      <c r="F17" s="564"/>
      <c r="G17" s="567"/>
      <c r="H17" s="181">
        <f>IFERROR(VLOOKUP(D17,'미니게임_DATA(순)'!$A$5:$EV$38,90,0),0)+3</f>
        <v>163</v>
      </c>
      <c r="I17" s="564"/>
      <c r="J17" s="567"/>
      <c r="K17" s="181">
        <f>IFERROR(VLOOKUP(D17,'미니게임_DATA(순)'!$A$5:$EV$38,91,0),0)+3</f>
        <v>149</v>
      </c>
      <c r="L17" s="564"/>
      <c r="M17" s="567"/>
      <c r="N17" s="182">
        <f t="shared" si="0"/>
        <v>433</v>
      </c>
      <c r="O17" s="189">
        <f t="shared" si="1"/>
        <v>144.33333333333334</v>
      </c>
      <c r="P17" s="580"/>
      <c r="Q17" s="587"/>
      <c r="R17" s="184">
        <f>IFERROR(O17-VLOOKUP(D17,'미니게임_DATA(순)'!$A:$FB,MATCH("rct 10g avg",'미니게임_DATA(순)'!$A$3:$FB$3,0),0),0)</f>
        <v>-17.766666666666652</v>
      </c>
      <c r="S17" s="172" t="s">
        <v>157</v>
      </c>
      <c r="T17" s="185">
        <f t="shared" si="2"/>
        <v>163</v>
      </c>
      <c r="U17" s="186">
        <f t="shared" si="3"/>
        <v>144.33333333333334</v>
      </c>
      <c r="V17" s="187" t="str">
        <f t="shared" si="4"/>
        <v>손하은</v>
      </c>
    </row>
    <row r="18" spans="3:23">
      <c r="C18" s="562"/>
      <c r="D18" s="191"/>
      <c r="E18" s="182"/>
      <c r="F18" s="564"/>
      <c r="G18" s="567"/>
      <c r="H18" s="182"/>
      <c r="I18" s="564"/>
      <c r="J18" s="567"/>
      <c r="K18" s="182"/>
      <c r="L18" s="564"/>
      <c r="M18" s="567"/>
      <c r="N18" s="182">
        <f t="shared" si="0"/>
        <v>0</v>
      </c>
      <c r="O18" s="189">
        <f t="shared" si="1"/>
        <v>0</v>
      </c>
      <c r="P18" s="580"/>
      <c r="Q18" s="587"/>
      <c r="R18" s="184">
        <f>IFERROR(O18-VLOOKUP(D18,'미니게임_DATA(순)'!$A:$FB,MATCH("rct 10g avg",'미니게임_DATA(순)'!$A$3:$FB$3,0),0),0)</f>
        <v>0</v>
      </c>
      <c r="T18" s="185"/>
      <c r="U18" s="186"/>
      <c r="V18" s="187"/>
    </row>
    <row r="19" spans="3:23">
      <c r="C19" s="192"/>
      <c r="D19" s="193"/>
      <c r="E19" s="194">
        <f>SUMIF(E15:E18, "&gt;0")</f>
        <v>531</v>
      </c>
      <c r="F19" s="565"/>
      <c r="G19" s="568"/>
      <c r="H19" s="194">
        <f>SUMIF(H15:H18, "&gt;0")</f>
        <v>507</v>
      </c>
      <c r="I19" s="565"/>
      <c r="J19" s="568"/>
      <c r="K19" s="194">
        <f>SUMIF(K15:K18, "&gt;0")</f>
        <v>502</v>
      </c>
      <c r="L19" s="565"/>
      <c r="M19" s="568"/>
      <c r="N19" s="194">
        <f t="shared" si="0"/>
        <v>1540</v>
      </c>
      <c r="O19" s="195"/>
      <c r="P19" s="581"/>
      <c r="Q19" s="588"/>
      <c r="R19" s="184">
        <f>IFERROR(O19-VLOOKUP(D19,'미니게임_DATA(순)'!$A:$FB,MATCH("rct 10g avg",'미니게임_DATA(순)'!$A$3:$FB$3,0),0),0)</f>
        <v>0</v>
      </c>
      <c r="S19" s="185">
        <f>N19</f>
        <v>1540</v>
      </c>
      <c r="T19" s="185"/>
      <c r="U19" s="186"/>
      <c r="V19" s="187">
        <f t="shared" si="4"/>
        <v>0</v>
      </c>
      <c r="W19" s="187">
        <f>SUM(E19,H19)</f>
        <v>1038</v>
      </c>
    </row>
    <row r="20" spans="3:23">
      <c r="C20" s="561" t="s">
        <v>146</v>
      </c>
      <c r="D20" s="180" t="s">
        <v>37</v>
      </c>
      <c r="E20" s="181">
        <f>IFERROR(VLOOKUP(D20,'미니게임_DATA(순)'!$A$5:$EV$38,89,0),0)</f>
        <v>0</v>
      </c>
      <c r="F20" s="563">
        <f>RANK(E24,($E$19,$E$24,$E$29,$E$34,E$39))</f>
        <v>5</v>
      </c>
      <c r="G20" s="566">
        <f t="shared" ref="G20" si="5">F20</f>
        <v>5</v>
      </c>
      <c r="H20" s="181">
        <f>IFERROR(VLOOKUP(D20,'미니게임_DATA(순)'!$A$5:$EV$38,90,0),0)</f>
        <v>0</v>
      </c>
      <c r="I20" s="563">
        <f>RANK(H24,($H$19,$H$24,$H$29,$H$34,H$39))</f>
        <v>5</v>
      </c>
      <c r="J20" s="566">
        <f>RANK(W24,($W$19,$W$24,$W$29,$W$34,$W$39))</f>
        <v>5</v>
      </c>
      <c r="K20" s="181">
        <f>IFERROR(VLOOKUP(D20,'미니게임_DATA(순)'!$A$5:$EV$38,91,0),0)</f>
        <v>0</v>
      </c>
      <c r="L20" s="563">
        <f>RANK(K24,($K$19,$K$24,$K$29,$K$34,$K$39))</f>
        <v>5</v>
      </c>
      <c r="M20" s="566">
        <f t="shared" ref="M20" si="6">P20</f>
        <v>5</v>
      </c>
      <c r="N20" s="181">
        <f>E20+H20+K20</f>
        <v>0</v>
      </c>
      <c r="O20" s="183">
        <f>N20/3</f>
        <v>0</v>
      </c>
      <c r="P20" s="579">
        <f>RANK(N24,($N$19,$N$24,$N$29,$N$34,$N$39))</f>
        <v>5</v>
      </c>
      <c r="Q20" s="582">
        <f>MAX($N$19,$N$24,N$29,N$34,N$39)-N24</f>
        <v>1056</v>
      </c>
      <c r="R20" s="184">
        <f>IFERROR(O20-VLOOKUP(D20,'미니게임_DATA(순)'!$A:$FB,MATCH("rct 10g avg",'미니게임_DATA(순)'!$A$3:$FB$3,0),0),0)</f>
        <v>-166.4</v>
      </c>
      <c r="S20" s="172" t="str">
        <f>VLOOKUP(D20,미니게임_DATA!$A:$BW,MATCH("성별",미니게임_DATA!$A$3:$BW$3,0),0)</f>
        <v>남</v>
      </c>
      <c r="T20" s="185">
        <f>MAX(  E20,H20,K20)</f>
        <v>0</v>
      </c>
      <c r="U20" s="186">
        <f>AVERAGE(E20,H20,K20)</f>
        <v>0</v>
      </c>
      <c r="V20" s="187" t="str">
        <f t="shared" si="4"/>
        <v>최은규</v>
      </c>
    </row>
    <row r="21" spans="3:23">
      <c r="C21" s="585"/>
      <c r="D21" s="197" t="s">
        <v>14</v>
      </c>
      <c r="E21" s="181">
        <f>IFERROR(VLOOKUP(D21,'미니게임_DATA(순)'!$A$5:$EV$38,89,0),0)</f>
        <v>143</v>
      </c>
      <c r="F21" s="564"/>
      <c r="G21" s="567"/>
      <c r="H21" s="181">
        <f>IFERROR(VLOOKUP(D21,'미니게임_DATA(순)'!$A$5:$EV$38,90,0),0)</f>
        <v>178</v>
      </c>
      <c r="I21" s="564"/>
      <c r="J21" s="567"/>
      <c r="K21" s="181">
        <f>IFERROR(VLOOKUP(D21,'미니게임_DATA(순)'!$A$5:$EV$38,91,0),0)</f>
        <v>154</v>
      </c>
      <c r="L21" s="564"/>
      <c r="M21" s="567"/>
      <c r="N21" s="182">
        <f t="shared" ref="N21:N23" si="7">E21+H21+K21</f>
        <v>475</v>
      </c>
      <c r="O21" s="189">
        <f t="shared" ref="O21:O23" si="8">N21/3</f>
        <v>158.33333333333334</v>
      </c>
      <c r="P21" s="580"/>
      <c r="Q21" s="583"/>
      <c r="R21" s="184">
        <f>IFERROR(O21-VLOOKUP(D21,'미니게임_DATA(순)'!$A:$FB,MATCH("rct 10g avg",'미니게임_DATA(순)'!$A$3:$FB$3,0),0),0)</f>
        <v>-3.8666666666666458</v>
      </c>
      <c r="S21" s="172" t="str">
        <f>VLOOKUP(D21,미니게임_DATA!$A:$BW,MATCH("성별",미니게임_DATA!$A$3:$BW$3,0),0)</f>
        <v>남</v>
      </c>
      <c r="T21" s="185">
        <f>MAX(  E21,H21,K21)</f>
        <v>178</v>
      </c>
      <c r="U21" s="186">
        <f>AVERAGE(E21,H21,K21)</f>
        <v>158.33333333333334</v>
      </c>
      <c r="V21" s="187" t="str">
        <f t="shared" si="4"/>
        <v>채승엽</v>
      </c>
    </row>
    <row r="22" spans="3:23">
      <c r="C22" s="562"/>
      <c r="D22" s="188" t="s">
        <v>40</v>
      </c>
      <c r="E22" s="181">
        <f>IFERROR(VLOOKUP(D22,'미니게임_DATA(순)'!$A$5:$EV$38,89,0),0)+3</f>
        <v>3</v>
      </c>
      <c r="F22" s="564"/>
      <c r="G22" s="567"/>
      <c r="H22" s="181">
        <f>IFERROR(VLOOKUP(D22,'미니게임_DATA(순)'!$A$5:$EV$38,90,0),0)+3</f>
        <v>3</v>
      </c>
      <c r="I22" s="564"/>
      <c r="J22" s="567"/>
      <c r="K22" s="181">
        <f>IFERROR(VLOOKUP(D22,'미니게임_DATA(순)'!$A$5:$EV$38,91,0),0)+3</f>
        <v>3</v>
      </c>
      <c r="L22" s="564"/>
      <c r="M22" s="567"/>
      <c r="N22" s="182">
        <f t="shared" si="7"/>
        <v>9</v>
      </c>
      <c r="O22" s="189">
        <f t="shared" si="8"/>
        <v>3</v>
      </c>
      <c r="P22" s="580"/>
      <c r="Q22" s="583"/>
      <c r="R22" s="184">
        <f>IFERROR(O22-VLOOKUP(D22,'미니게임_DATA(순)'!$A:$FB,MATCH("rct 10g avg",'미니게임_DATA(순)'!$A$3:$FB$3,0),0),0)</f>
        <v>-133.19999999999999</v>
      </c>
      <c r="S22" s="172" t="s">
        <v>157</v>
      </c>
      <c r="T22" s="185">
        <f>MAX(  E22,H22,K22)</f>
        <v>3</v>
      </c>
      <c r="U22" s="186">
        <f>AVERAGE(E22,H22,K22)</f>
        <v>3</v>
      </c>
      <c r="V22" s="187" t="str">
        <f t="shared" si="4"/>
        <v>조연희</v>
      </c>
    </row>
    <row r="23" spans="3:23">
      <c r="C23" s="562"/>
      <c r="D23" s="188"/>
      <c r="E23" s="182"/>
      <c r="F23" s="564"/>
      <c r="G23" s="567"/>
      <c r="H23" s="182"/>
      <c r="I23" s="564"/>
      <c r="J23" s="567"/>
      <c r="K23" s="182"/>
      <c r="L23" s="564"/>
      <c r="M23" s="567"/>
      <c r="N23" s="182">
        <f t="shared" si="7"/>
        <v>0</v>
      </c>
      <c r="O23" s="189">
        <f t="shared" si="8"/>
        <v>0</v>
      </c>
      <c r="P23" s="580"/>
      <c r="Q23" s="583"/>
      <c r="R23" s="184">
        <f>IFERROR(O23-VLOOKUP(D23,'미니게임_DATA(순)'!$A:$FB,MATCH("rct 10g avg",'미니게임_DATA(순)'!$A$3:$FB$3,0),0),0)</f>
        <v>0</v>
      </c>
      <c r="T23" s="185"/>
      <c r="U23" s="186"/>
      <c r="V23" s="187"/>
    </row>
    <row r="24" spans="3:23">
      <c r="C24" s="192"/>
      <c r="D24" s="193"/>
      <c r="E24" s="194">
        <f t="shared" ref="E24" si="9">SUMIF(E20:E23, "&gt;0")</f>
        <v>146</v>
      </c>
      <c r="F24" s="565"/>
      <c r="G24" s="568"/>
      <c r="H24" s="194">
        <f t="shared" ref="H24" si="10">SUMIF(H20:H23, "&gt;0")</f>
        <v>181</v>
      </c>
      <c r="I24" s="565"/>
      <c r="J24" s="568"/>
      <c r="K24" s="194">
        <f>SUMIF(K20:K23, "&gt;0")</f>
        <v>157</v>
      </c>
      <c r="L24" s="565"/>
      <c r="M24" s="568"/>
      <c r="N24" s="194">
        <f>E24+H24+K24</f>
        <v>484</v>
      </c>
      <c r="O24" s="195"/>
      <c r="P24" s="581"/>
      <c r="Q24" s="584"/>
      <c r="R24" s="184">
        <f>IFERROR(O24-VLOOKUP(D24,'미니게임_DATA(순)'!$A:$FB,MATCH("rct 10g avg",'미니게임_DATA(순)'!$A$3:$FB$3,0),0),0)</f>
        <v>0</v>
      </c>
      <c r="S24" s="185">
        <f>N24</f>
        <v>484</v>
      </c>
      <c r="T24" s="185"/>
      <c r="U24" s="186"/>
      <c r="V24" s="187">
        <f t="shared" si="4"/>
        <v>0</v>
      </c>
      <c r="W24" s="187">
        <f>SUM(E24,H24)</f>
        <v>327</v>
      </c>
    </row>
    <row r="25" spans="3:23">
      <c r="C25" s="561" t="s">
        <v>147</v>
      </c>
      <c r="D25" s="180" t="s">
        <v>16</v>
      </c>
      <c r="E25" s="181">
        <f>IFERROR(VLOOKUP(D25,'미니게임_DATA(순)'!$A$5:$EV$38,89,0),0)</f>
        <v>135</v>
      </c>
      <c r="F25" s="563">
        <f>RANK(E29,($E$19,$E$24,$E$29,$E$34,E$39))</f>
        <v>4</v>
      </c>
      <c r="G25" s="566">
        <f t="shared" ref="G25" si="11">F25</f>
        <v>4</v>
      </c>
      <c r="H25" s="181">
        <f>IFERROR(VLOOKUP(D25,'미니게임_DATA(순)'!$A$5:$EV$38,90,0),0)</f>
        <v>155</v>
      </c>
      <c r="I25" s="563">
        <f>RANK(H29,($H$19,$H$24,$H$29,$H$34,H$39))</f>
        <v>2</v>
      </c>
      <c r="J25" s="566">
        <f>RANK(W29,($W$19,$W$24,$W$29,$W$34,$W$39))</f>
        <v>3</v>
      </c>
      <c r="K25" s="181">
        <f>IFERROR(VLOOKUP(D25,'미니게임_DATA(순)'!$A$5:$EV$38,91,0),0)</f>
        <v>133</v>
      </c>
      <c r="L25" s="563">
        <f>RANK(K29,($K$19,$K$24,$K$29,$K$34,$K$39))</f>
        <v>1</v>
      </c>
      <c r="M25" s="566">
        <f t="shared" ref="M25" si="12">P25</f>
        <v>2</v>
      </c>
      <c r="N25" s="181">
        <f>E25+H25+K25</f>
        <v>423</v>
      </c>
      <c r="O25" s="183">
        <f>N25/3</f>
        <v>141</v>
      </c>
      <c r="P25" s="579">
        <f>RANK(N29,($N$19,$N$24,$N$29,$N$34,$N$39))</f>
        <v>2</v>
      </c>
      <c r="Q25" s="582">
        <f>MAX($N$19,$N$24,N$29,N$34,N$39)-N29</f>
        <v>39</v>
      </c>
      <c r="R25" s="184">
        <f>IFERROR(O25-VLOOKUP(D25,'미니게임_DATA(순)'!$A:$FB,MATCH("rct 10g avg",'미니게임_DATA(순)'!$A$3:$FB$3,0),0),0)</f>
        <v>-15.699999999999989</v>
      </c>
      <c r="S25" s="172" t="s">
        <v>156</v>
      </c>
      <c r="T25" s="185">
        <f>MAX(  E25,H25,K25)</f>
        <v>155</v>
      </c>
      <c r="U25" s="186">
        <f>AVERAGE(E25,H25,K25)</f>
        <v>141</v>
      </c>
      <c r="V25" s="187" t="str">
        <f t="shared" si="4"/>
        <v>전병기</v>
      </c>
    </row>
    <row r="26" spans="3:23">
      <c r="C26" s="562"/>
      <c r="D26" s="188" t="s">
        <v>13</v>
      </c>
      <c r="E26" s="181">
        <f>IFERROR(VLOOKUP(D26,'미니게임_DATA(순)'!$A$5:$EV$38,89,0),0)</f>
        <v>140</v>
      </c>
      <c r="F26" s="564"/>
      <c r="G26" s="567"/>
      <c r="H26" s="181">
        <f>IFERROR(VLOOKUP(D26,'미니게임_DATA(순)'!$A$5:$EV$38,90,0),0)</f>
        <v>172</v>
      </c>
      <c r="I26" s="564"/>
      <c r="J26" s="567"/>
      <c r="K26" s="181">
        <f>IFERROR(VLOOKUP(D26,'미니게임_DATA(순)'!$A$5:$EV$38,91,0),0)</f>
        <v>257</v>
      </c>
      <c r="L26" s="564"/>
      <c r="M26" s="567"/>
      <c r="N26" s="182">
        <f t="shared" ref="N26:N29" si="13">E26+H26+K26</f>
        <v>569</v>
      </c>
      <c r="O26" s="189">
        <f t="shared" ref="O26:O28" si="14">N26/3</f>
        <v>189.66666666666666</v>
      </c>
      <c r="P26" s="580"/>
      <c r="Q26" s="583"/>
      <c r="R26" s="184">
        <f>IFERROR(O26-VLOOKUP(D26,'미니게임_DATA(순)'!$A:$FB,MATCH("rct 10g avg",'미니게임_DATA(순)'!$A$3:$FB$3,0),0),0)</f>
        <v>30.466666666666669</v>
      </c>
      <c r="S26" s="172" t="str">
        <f>VLOOKUP(D26,미니게임_DATA!$A:$BW,MATCH("성별",미니게임_DATA!$A$3:$BW$3,0),0)</f>
        <v>남</v>
      </c>
      <c r="T26" s="185">
        <f>MAX(  E26,H26,K26)</f>
        <v>257</v>
      </c>
      <c r="U26" s="186">
        <f>AVERAGE(E26,H26,K26)</f>
        <v>189.66666666666666</v>
      </c>
      <c r="V26" s="187" t="str">
        <f t="shared" si="4"/>
        <v>정동현</v>
      </c>
    </row>
    <row r="27" spans="3:23">
      <c r="C27" s="562"/>
      <c r="D27" s="188" t="s">
        <v>281</v>
      </c>
      <c r="E27" s="181">
        <f>IFERROR(VLOOKUP(D27,'미니게임_DATA(순)'!$A$5:$EV$38,89,0),0)+18</f>
        <v>181</v>
      </c>
      <c r="F27" s="564"/>
      <c r="G27" s="567"/>
      <c r="H27" s="181">
        <f>IFERROR(VLOOKUP(D27,'미니게임_DATA(순)'!$A$5:$EV$38,90,0),0)+18</f>
        <v>175</v>
      </c>
      <c r="I27" s="564"/>
      <c r="J27" s="567"/>
      <c r="K27" s="181">
        <f>IFERROR(VLOOKUP(D27,'미니게임_DATA(순)'!$A$5:$EV$38,91,0),0)+18</f>
        <v>153</v>
      </c>
      <c r="L27" s="564"/>
      <c r="M27" s="567"/>
      <c r="N27" s="182">
        <f t="shared" si="13"/>
        <v>509</v>
      </c>
      <c r="O27" s="189">
        <f t="shared" si="14"/>
        <v>169.66666666666666</v>
      </c>
      <c r="P27" s="580"/>
      <c r="Q27" s="583"/>
      <c r="R27" s="184">
        <f>IFERROR(O27-VLOOKUP(D27,'미니게임_DATA(순)'!$A:$FB,MATCH("rct 10g avg",'미니게임_DATA(순)'!$A$3:$FB$3,0),0),0)</f>
        <v>0.56666666666666288</v>
      </c>
      <c r="S27" s="172" t="s">
        <v>157</v>
      </c>
      <c r="T27" s="185">
        <f>MAX(  E27,H27,K27)</f>
        <v>181</v>
      </c>
      <c r="U27" s="186">
        <f>AVERAGE(E27,H27,K27)</f>
        <v>169.66666666666666</v>
      </c>
      <c r="V27" s="187" t="str">
        <f t="shared" si="4"/>
        <v>오수인</v>
      </c>
    </row>
    <row r="28" spans="3:23">
      <c r="C28" s="562"/>
      <c r="D28" s="188"/>
      <c r="E28" s="182">
        <f>IFERROR(VLOOKUP(D28,미니게임_DATA!$A:$GT,6,0),0)</f>
        <v>0</v>
      </c>
      <c r="F28" s="564"/>
      <c r="G28" s="567"/>
      <c r="H28" s="182">
        <f>IFERROR(VLOOKUP(D28,미니게임_DATA!$A:$GT,7,0),0)</f>
        <v>0</v>
      </c>
      <c r="I28" s="564"/>
      <c r="J28" s="567"/>
      <c r="K28" s="182">
        <f>IFERROR(VLOOKUP(D28,미니게임_DATA!$A:$GT,8,0),0)</f>
        <v>0</v>
      </c>
      <c r="L28" s="564"/>
      <c r="M28" s="567"/>
      <c r="N28" s="182">
        <f t="shared" si="13"/>
        <v>0</v>
      </c>
      <c r="O28" s="189">
        <f t="shared" si="14"/>
        <v>0</v>
      </c>
      <c r="P28" s="580"/>
      <c r="Q28" s="583"/>
      <c r="R28" s="184">
        <f>IFERROR(O28-VLOOKUP(D28,'미니게임_DATA(순)'!$A:$FB,MATCH("rct 10g avg",'미니게임_DATA(순)'!$A$3:$FB$3,0),0),0)</f>
        <v>0</v>
      </c>
      <c r="T28" s="185"/>
      <c r="U28" s="186"/>
      <c r="V28" s="187"/>
    </row>
    <row r="29" spans="3:23">
      <c r="C29" s="192"/>
      <c r="D29" s="193"/>
      <c r="E29" s="194">
        <f>SUMIF(E25:E28, "&gt;0")</f>
        <v>456</v>
      </c>
      <c r="F29" s="565"/>
      <c r="G29" s="568"/>
      <c r="H29" s="194">
        <f>SUMIF(H25:H28, "&gt;0")</f>
        <v>502</v>
      </c>
      <c r="I29" s="565"/>
      <c r="J29" s="568"/>
      <c r="K29" s="194">
        <f>SUMIF(K25:K28, "&gt;0")</f>
        <v>543</v>
      </c>
      <c r="L29" s="565"/>
      <c r="M29" s="568"/>
      <c r="N29" s="194">
        <f t="shared" si="13"/>
        <v>1501</v>
      </c>
      <c r="O29" s="195"/>
      <c r="P29" s="581"/>
      <c r="Q29" s="584"/>
      <c r="R29" s="184">
        <f>IFERROR(O29-VLOOKUP(D29,'미니게임_DATA(순)'!$A:$FB,MATCH("rct 10g avg",'미니게임_DATA(순)'!$A$3:$FB$3,0),0),0)</f>
        <v>0</v>
      </c>
      <c r="S29" s="185">
        <f>N29</f>
        <v>1501</v>
      </c>
      <c r="T29" s="185"/>
      <c r="U29" s="186"/>
      <c r="V29" s="187">
        <f t="shared" si="4"/>
        <v>0</v>
      </c>
      <c r="W29" s="187">
        <f>SUM(E29,H29)</f>
        <v>958</v>
      </c>
    </row>
    <row r="30" spans="3:23">
      <c r="C30" s="561" t="s">
        <v>148</v>
      </c>
      <c r="D30" s="180" t="s">
        <v>9</v>
      </c>
      <c r="E30" s="181">
        <f>IFERROR(VLOOKUP(D30,'미니게임_DATA(순)'!$A$5:$EV$38,89,0),0)</f>
        <v>193</v>
      </c>
      <c r="F30" s="563">
        <f>RANK(E34,($E$19,$E$24,$E$29,$E$34,$E$39))</f>
        <v>2</v>
      </c>
      <c r="G30" s="566">
        <f t="shared" ref="G30" si="15">F30</f>
        <v>2</v>
      </c>
      <c r="H30" s="181">
        <f>IFERROR(VLOOKUP(D30,'미니게임_DATA(순)'!$A$5:$EV$38,90,0),0)</f>
        <v>136</v>
      </c>
      <c r="I30" s="563">
        <f>RANK(H34,($H$19,$H$24,$H$29,$H$34,H$39))</f>
        <v>4</v>
      </c>
      <c r="J30" s="566">
        <f>RANK(W34,($W$19,$W$24,$W$29,$W$34,$W$39))</f>
        <v>4</v>
      </c>
      <c r="K30" s="181">
        <f>IFERROR(VLOOKUP(D30,'미니게임_DATA(순)'!$A$5:$EV$38,91,0),0)</f>
        <v>178</v>
      </c>
      <c r="L30" s="563">
        <f>RANK(K34,($K$19,$K$24,$K$29,$K$34,$K$39))</f>
        <v>4</v>
      </c>
      <c r="M30" s="566">
        <f t="shared" ref="M30" si="16">P30</f>
        <v>4</v>
      </c>
      <c r="N30" s="181">
        <f>E30+H30+K30</f>
        <v>507</v>
      </c>
      <c r="O30" s="183">
        <f>N30/3</f>
        <v>169</v>
      </c>
      <c r="P30" s="579">
        <f>RANK(N34,($N$19,$N$24,$N$29,$N$34,$N$39))</f>
        <v>4</v>
      </c>
      <c r="Q30" s="582">
        <f>MAX($N$19,$N$24,N$29,N$34,N$39)-N34</f>
        <v>226</v>
      </c>
      <c r="R30" s="184">
        <f>IFERROR(O30-VLOOKUP(D30,'미니게임_DATA(순)'!$A:$FB,MATCH("rct 10g avg",'미니게임_DATA(순)'!$A$3:$FB$3,0),0),0)</f>
        <v>7.8000000000000114</v>
      </c>
      <c r="S30" s="172" t="str">
        <f>VLOOKUP(D30,미니게임_DATA!$A:$BW,MATCH("성별",미니게임_DATA!$A$3:$BW$3,0),0)</f>
        <v>남</v>
      </c>
      <c r="T30" s="185">
        <f>MAX(  E30,H30,K30)</f>
        <v>193</v>
      </c>
      <c r="U30" s="186">
        <f>AVERAGE(E30,H30,K30)</f>
        <v>169</v>
      </c>
      <c r="V30" s="187" t="str">
        <f t="shared" si="4"/>
        <v>백동민</v>
      </c>
    </row>
    <row r="31" spans="3:23">
      <c r="C31" s="585"/>
      <c r="D31" s="197" t="s">
        <v>10</v>
      </c>
      <c r="E31" s="181">
        <f>IFERROR(VLOOKUP(D31,'미니게임_DATA(순)'!$A$5:$EV$38,89,0),0)</f>
        <v>137</v>
      </c>
      <c r="F31" s="564"/>
      <c r="G31" s="567"/>
      <c r="H31" s="181">
        <f>IFERROR(VLOOKUP(D31,'미니게임_DATA(순)'!$A$5:$EV$38,90,0),0)</f>
        <v>156</v>
      </c>
      <c r="I31" s="564"/>
      <c r="J31" s="567"/>
      <c r="K31" s="181">
        <f>IFERROR(VLOOKUP(D31,'미니게임_DATA(순)'!$A$5:$EV$38,91,0),0)</f>
        <v>126</v>
      </c>
      <c r="L31" s="564"/>
      <c r="M31" s="567"/>
      <c r="N31" s="182">
        <f t="shared" ref="N31:N39" si="17">E31+H31+K31</f>
        <v>419</v>
      </c>
      <c r="O31" s="189">
        <f t="shared" ref="O31:O33" si="18">N31/3</f>
        <v>139.66666666666666</v>
      </c>
      <c r="P31" s="580"/>
      <c r="Q31" s="583"/>
      <c r="R31" s="184">
        <f>IFERROR(O31-VLOOKUP(D31,'미니게임_DATA(순)'!$A:$FB,MATCH("rct 10g avg",'미니게임_DATA(순)'!$A$3:$FB$3,0),0),0)</f>
        <v>-13.733333333333348</v>
      </c>
      <c r="S31" s="172" t="s">
        <v>156</v>
      </c>
      <c r="T31" s="185">
        <f>MAX(  E31,H31,K31)</f>
        <v>156</v>
      </c>
      <c r="U31" s="186">
        <f>AVERAGE(E31,H31,K31)</f>
        <v>139.66666666666666</v>
      </c>
      <c r="V31" s="187" t="str">
        <f t="shared" si="4"/>
        <v>김신철</v>
      </c>
    </row>
    <row r="32" spans="3:23">
      <c r="C32" s="562"/>
      <c r="D32" s="188" t="s">
        <v>22</v>
      </c>
      <c r="E32" s="181">
        <f>IFERROR(VLOOKUP(D32,'미니게임_DATA(순)'!$A$5:$EV$38,89,0),0)</f>
        <v>147</v>
      </c>
      <c r="F32" s="564"/>
      <c r="G32" s="567"/>
      <c r="H32" s="181">
        <f>IFERROR(VLOOKUP(D32,'미니게임_DATA(순)'!$A$5:$EV$38,90,0),0)</f>
        <v>128</v>
      </c>
      <c r="I32" s="564"/>
      <c r="J32" s="567"/>
      <c r="K32" s="181">
        <f>IFERROR(VLOOKUP(D32,'미니게임_DATA(순)'!$A$5:$EV$38,91,0),0)</f>
        <v>113</v>
      </c>
      <c r="L32" s="564"/>
      <c r="M32" s="567"/>
      <c r="N32" s="182">
        <f t="shared" si="17"/>
        <v>388</v>
      </c>
      <c r="O32" s="189">
        <f t="shared" si="18"/>
        <v>129.33333333333334</v>
      </c>
      <c r="P32" s="580"/>
      <c r="Q32" s="583"/>
      <c r="R32" s="184">
        <f>IFERROR(O32-VLOOKUP(D32,'미니게임_DATA(순)'!$A:$FB,MATCH("rct 10g avg",'미니게임_DATA(순)'!$A$3:$FB$3,0),0),0)</f>
        <v>-14.066666666666663</v>
      </c>
      <c r="S32" s="172" t="s">
        <v>156</v>
      </c>
      <c r="T32" s="185">
        <f>MAX(  E32,H32,K32)</f>
        <v>147</v>
      </c>
      <c r="U32" s="186">
        <f>AVERAGE(E32,H32,K32)</f>
        <v>129.33333333333334</v>
      </c>
      <c r="V32" s="187" t="str">
        <f t="shared" si="4"/>
        <v>이강은</v>
      </c>
    </row>
    <row r="33" spans="2:24">
      <c r="C33" s="562"/>
      <c r="D33" s="188"/>
      <c r="E33" s="182"/>
      <c r="F33" s="564"/>
      <c r="G33" s="567"/>
      <c r="H33" s="182"/>
      <c r="I33" s="564"/>
      <c r="J33" s="567"/>
      <c r="K33" s="181">
        <f>IFERROR(VLOOKUP(D33,'미니게임_DATA(순)'!$A$5:$BU$38,73,0),0)</f>
        <v>0</v>
      </c>
      <c r="L33" s="564"/>
      <c r="M33" s="567"/>
      <c r="N33" s="182">
        <f t="shared" si="17"/>
        <v>0</v>
      </c>
      <c r="O33" s="189">
        <f t="shared" si="18"/>
        <v>0</v>
      </c>
      <c r="P33" s="580"/>
      <c r="Q33" s="583"/>
      <c r="R33" s="184">
        <f>IFERROR(O33-VLOOKUP(D33,'미니게임_DATA(순)'!$A:$FB,MATCH("rct 10g avg",'미니게임_DATA(순)'!$A$3:$FB$3,0),0),0)</f>
        <v>0</v>
      </c>
      <c r="T33" s="185"/>
      <c r="U33" s="186"/>
      <c r="V33" s="187"/>
    </row>
    <row r="34" spans="2:24">
      <c r="C34" s="192"/>
      <c r="D34" s="193"/>
      <c r="E34" s="194">
        <f t="shared" ref="E34" si="19">SUMIF(E30:E33, "&gt;0")</f>
        <v>477</v>
      </c>
      <c r="F34" s="565"/>
      <c r="G34" s="568"/>
      <c r="H34" s="194">
        <f t="shared" ref="H34" si="20">SUMIF(H30:H33, "&gt;0")</f>
        <v>420</v>
      </c>
      <c r="I34" s="565"/>
      <c r="J34" s="568"/>
      <c r="K34" s="194">
        <f>SUMIF(K30:K33, "&gt;0")</f>
        <v>417</v>
      </c>
      <c r="L34" s="565"/>
      <c r="M34" s="568"/>
      <c r="N34" s="194">
        <f t="shared" si="17"/>
        <v>1314</v>
      </c>
      <c r="O34" s="195"/>
      <c r="P34" s="581"/>
      <c r="Q34" s="584"/>
      <c r="R34" s="184">
        <f>IFERROR(O34-VLOOKUP(D34,'미니게임_DATA(순)'!$A:$FB,MATCH("rct 10g avg",'미니게임_DATA(순)'!$A$3:$FB$3,0),0),0)</f>
        <v>0</v>
      </c>
      <c r="S34" s="185">
        <f>N34</f>
        <v>1314</v>
      </c>
      <c r="T34" s="185"/>
      <c r="U34" s="186"/>
      <c r="V34" s="187">
        <f t="shared" si="4"/>
        <v>0</v>
      </c>
      <c r="W34" s="187">
        <f>SUM(E34,H34)</f>
        <v>897</v>
      </c>
    </row>
    <row r="35" spans="2:24">
      <c r="C35" s="561" t="s">
        <v>149</v>
      </c>
      <c r="D35" s="180" t="s">
        <v>38</v>
      </c>
      <c r="E35" s="181">
        <f>IFERROR(VLOOKUP(D35,'미니게임_DATA(순)'!$A$5:$EV$38,89,0),0)</f>
        <v>193</v>
      </c>
      <c r="F35" s="563">
        <f>RANK(E39,($E$19,$E$24,$E$29,$E$34,$E$39))</f>
        <v>3</v>
      </c>
      <c r="G35" s="566">
        <f t="shared" ref="G35" si="21">F35</f>
        <v>3</v>
      </c>
      <c r="H35" s="181">
        <f>IFERROR(VLOOKUP(D35,'미니게임_DATA(순)'!$A$5:$EV$38,90,0),0)</f>
        <v>213</v>
      </c>
      <c r="I35" s="563">
        <f>RANK(H39,($H$19,$H$24,$H$29,$H$34,H$39))</f>
        <v>3</v>
      </c>
      <c r="J35" s="566">
        <f>RANK(W39,($W$19,$W$24,$W$29,$W$34,$W$39))</f>
        <v>2</v>
      </c>
      <c r="K35" s="181">
        <f>IFERROR(VLOOKUP(D35,'미니게임_DATA(순)'!$A$5:$EV$38,91,0),0)</f>
        <v>125</v>
      </c>
      <c r="L35" s="563">
        <f>RANK(K39,($K$19,$K$24,$K$29,$K$34,$K$39))</f>
        <v>3</v>
      </c>
      <c r="M35" s="566">
        <f t="shared" ref="M35" si="22">P35</f>
        <v>3</v>
      </c>
      <c r="N35" s="181">
        <f>E35+H35+K35</f>
        <v>531</v>
      </c>
      <c r="O35" s="183">
        <f>N35/3</f>
        <v>177</v>
      </c>
      <c r="P35" s="579">
        <f>RANK(N39,($N$19,$N$24,$N$29,$N$34,$N$39))</f>
        <v>3</v>
      </c>
      <c r="Q35" s="582">
        <f>MAX($N$19,$N$24,N$29,N$34,N$39)-N39</f>
        <v>148</v>
      </c>
      <c r="R35" s="184">
        <f>IFERROR(O35-VLOOKUP(D35,'미니게임_DATA(순)'!$A:$FB,MATCH("rct 10g avg",'미니게임_DATA(순)'!$A$3:$FB$3,0),0),0)</f>
        <v>15.300000000000011</v>
      </c>
      <c r="S35" s="172" t="str">
        <f>VLOOKUP(D35,미니게임_DATA!$A:$BW,MATCH("성별",미니게임_DATA!$A$3:$BW$3,0),0)</f>
        <v>남</v>
      </c>
      <c r="T35" s="185">
        <f>MAX(  E35,H35,K35)</f>
        <v>213</v>
      </c>
      <c r="U35" s="186">
        <f>AVERAGE(E35,H35,K35)</f>
        <v>177</v>
      </c>
      <c r="V35" s="187" t="str">
        <f t="shared" si="4"/>
        <v>이수용</v>
      </c>
    </row>
    <row r="36" spans="2:24" s="172" customFormat="1">
      <c r="B36" s="169"/>
      <c r="C36" s="585"/>
      <c r="D36" s="197" t="s">
        <v>17</v>
      </c>
      <c r="E36" s="181">
        <f>IFERROR(VLOOKUP(D36,'미니게임_DATA(순)'!$A$5:$EV$38,89,0),0)</f>
        <v>122</v>
      </c>
      <c r="F36" s="564"/>
      <c r="G36" s="567"/>
      <c r="H36" s="181">
        <f>IFERROR(VLOOKUP(D36,'미니게임_DATA(순)'!$A$5:$EV$38,90,0),0)</f>
        <v>132</v>
      </c>
      <c r="I36" s="564"/>
      <c r="J36" s="567"/>
      <c r="K36" s="181">
        <f>IFERROR(VLOOKUP(D36,'미니게임_DATA(순)'!$A$5:$EV$38,91,0),0)</f>
        <v>142</v>
      </c>
      <c r="L36" s="564"/>
      <c r="M36" s="567"/>
      <c r="N36" s="182">
        <f t="shared" si="17"/>
        <v>396</v>
      </c>
      <c r="O36" s="183">
        <f t="shared" ref="O36:O38" si="23">N36/3</f>
        <v>132</v>
      </c>
      <c r="P36" s="580"/>
      <c r="Q36" s="583"/>
      <c r="R36" s="184">
        <f>IFERROR(O36-VLOOKUP(D36,'미니게임_DATA(순)'!$A:$FB,MATCH("rct 10g avg",'미니게임_DATA(순)'!$A$3:$FB$3,0),0),0)</f>
        <v>-15.099999999999994</v>
      </c>
      <c r="S36" s="172" t="s">
        <v>156</v>
      </c>
      <c r="T36" s="185">
        <f>MAX(  E36,H36,K36)</f>
        <v>142</v>
      </c>
      <c r="U36" s="186">
        <f>AVERAGE(E36,H36,K36)</f>
        <v>132</v>
      </c>
      <c r="V36" s="187" t="str">
        <f t="shared" si="4"/>
        <v>한희용</v>
      </c>
      <c r="W36" s="169"/>
      <c r="X36" s="169"/>
    </row>
    <row r="37" spans="2:24" s="172" customFormat="1">
      <c r="B37" s="169"/>
      <c r="C37" s="562"/>
      <c r="D37" s="188" t="s">
        <v>221</v>
      </c>
      <c r="E37" s="181">
        <v>155</v>
      </c>
      <c r="F37" s="564"/>
      <c r="G37" s="567"/>
      <c r="H37" s="181">
        <v>155</v>
      </c>
      <c r="I37" s="564"/>
      <c r="J37" s="567"/>
      <c r="K37" s="181">
        <v>155</v>
      </c>
      <c r="L37" s="564"/>
      <c r="M37" s="567"/>
      <c r="N37" s="182">
        <f t="shared" si="17"/>
        <v>465</v>
      </c>
      <c r="O37" s="183">
        <f t="shared" si="23"/>
        <v>155</v>
      </c>
      <c r="P37" s="580"/>
      <c r="Q37" s="583"/>
      <c r="R37" s="184">
        <f>IFERROR(O37-VLOOKUP(D37,'미니게임_DATA(순)'!$A:$FB,MATCH("rct 10g avg",'미니게임_DATA(순)'!$A$3:$FB$3,0),0),0)</f>
        <v>0</v>
      </c>
      <c r="S37" s="172" t="s">
        <v>156</v>
      </c>
      <c r="T37" s="185">
        <f>MAX(  E37,H37,K37)</f>
        <v>155</v>
      </c>
      <c r="U37" s="186">
        <f>AVERAGE(E37,H37,K37)</f>
        <v>155</v>
      </c>
      <c r="V37" s="187" t="str">
        <f t="shared" si="4"/>
        <v>동수</v>
      </c>
      <c r="W37" s="169"/>
      <c r="X37" s="169"/>
    </row>
    <row r="38" spans="2:24">
      <c r="C38" s="562"/>
      <c r="D38" s="188"/>
      <c r="E38" s="182"/>
      <c r="F38" s="564"/>
      <c r="G38" s="567"/>
      <c r="H38" s="182"/>
      <c r="I38" s="564"/>
      <c r="J38" s="567"/>
      <c r="K38" s="181"/>
      <c r="L38" s="564"/>
      <c r="M38" s="567"/>
      <c r="N38" s="182">
        <f t="shared" si="17"/>
        <v>0</v>
      </c>
      <c r="O38" s="183">
        <f t="shared" si="23"/>
        <v>0</v>
      </c>
      <c r="P38" s="580"/>
      <c r="Q38" s="583"/>
      <c r="R38" s="184">
        <f>IFERROR(O38-VLOOKUP(D38,'미니게임_DATA(순)'!$A:$FB,MATCH("rct 10g avg",'미니게임_DATA(순)'!$A$3:$FB$3,0),0),0)</f>
        <v>0</v>
      </c>
      <c r="T38" s="185"/>
      <c r="U38" s="186"/>
      <c r="V38" s="187"/>
    </row>
    <row r="39" spans="2:24">
      <c r="C39" s="192"/>
      <c r="D39" s="193"/>
      <c r="E39" s="194">
        <f>SUMIF(E35:E38, "&gt;0")</f>
        <v>470</v>
      </c>
      <c r="F39" s="565"/>
      <c r="G39" s="568"/>
      <c r="H39" s="194">
        <f t="shared" ref="H39" si="24">SUMIF(H35:H38, "&gt;0")</f>
        <v>500</v>
      </c>
      <c r="I39" s="565"/>
      <c r="J39" s="568"/>
      <c r="K39" s="194">
        <f>SUMIF(K35:K38, "&gt;0")</f>
        <v>422</v>
      </c>
      <c r="L39" s="565"/>
      <c r="M39" s="568"/>
      <c r="N39" s="194">
        <f t="shared" si="17"/>
        <v>1392</v>
      </c>
      <c r="O39" s="183"/>
      <c r="P39" s="581"/>
      <c r="Q39" s="584"/>
      <c r="R39" s="184">
        <f>IFERROR(O39-VLOOKUP(D39,'미니게임_DATA(순)'!$A:$FB,MATCH("rct 10g avg",'미니게임_DATA(순)'!$A$3:$FB$3,0),0),0)</f>
        <v>0</v>
      </c>
      <c r="S39" s="185">
        <f>N39</f>
        <v>1392</v>
      </c>
      <c r="T39" s="185"/>
      <c r="U39" s="186"/>
      <c r="V39" s="187">
        <f t="shared" ref="V39" si="25">D39</f>
        <v>0</v>
      </c>
      <c r="W39" s="187">
        <f>SUM(E39,H39)</f>
        <v>970</v>
      </c>
    </row>
  </sheetData>
  <mergeCells count="63">
    <mergeCell ref="M35:M39"/>
    <mergeCell ref="P35:P39"/>
    <mergeCell ref="Q35:Q39"/>
    <mergeCell ref="C35:C38"/>
    <mergeCell ref="F35:F39"/>
    <mergeCell ref="G35:G39"/>
    <mergeCell ref="I35:I39"/>
    <mergeCell ref="J35:J39"/>
    <mergeCell ref="L35:L39"/>
    <mergeCell ref="L30:L34"/>
    <mergeCell ref="M30:M34"/>
    <mergeCell ref="P30:P34"/>
    <mergeCell ref="Q30:Q34"/>
    <mergeCell ref="C25:C28"/>
    <mergeCell ref="F25:F29"/>
    <mergeCell ref="G25:G29"/>
    <mergeCell ref="C30:C33"/>
    <mergeCell ref="F30:F34"/>
    <mergeCell ref="G30:G34"/>
    <mergeCell ref="I30:I34"/>
    <mergeCell ref="J30:J34"/>
    <mergeCell ref="I25:I29"/>
    <mergeCell ref="J25:J29"/>
    <mergeCell ref="L25:L29"/>
    <mergeCell ref="M25:M29"/>
    <mergeCell ref="M15:M19"/>
    <mergeCell ref="P15:P19"/>
    <mergeCell ref="Q15:Q19"/>
    <mergeCell ref="L20:L24"/>
    <mergeCell ref="M20:M24"/>
    <mergeCell ref="P20:P24"/>
    <mergeCell ref="Q20:Q24"/>
    <mergeCell ref="P25:P29"/>
    <mergeCell ref="Q25:Q29"/>
    <mergeCell ref="C20:C23"/>
    <mergeCell ref="F20:F24"/>
    <mergeCell ref="G20:G24"/>
    <mergeCell ref="I20:I24"/>
    <mergeCell ref="J20:J24"/>
    <mergeCell ref="R12:R14"/>
    <mergeCell ref="E13:G13"/>
    <mergeCell ref="H13:J13"/>
    <mergeCell ref="K13:M13"/>
    <mergeCell ref="C15:C18"/>
    <mergeCell ref="F15:F19"/>
    <mergeCell ref="G15:G19"/>
    <mergeCell ref="I15:I19"/>
    <mergeCell ref="J15:J19"/>
    <mergeCell ref="L15:L19"/>
    <mergeCell ref="C12:C14"/>
    <mergeCell ref="D12:D14"/>
    <mergeCell ref="E12:K12"/>
    <mergeCell ref="N12:N14"/>
    <mergeCell ref="O12:O14"/>
    <mergeCell ref="P12:Q13"/>
    <mergeCell ref="B2:B3"/>
    <mergeCell ref="B4:B5"/>
    <mergeCell ref="B6:B10"/>
    <mergeCell ref="D6:E6"/>
    <mergeCell ref="D7:E7"/>
    <mergeCell ref="D8:E8"/>
    <mergeCell ref="D9:E9"/>
    <mergeCell ref="D10:E10"/>
  </mergeCells>
  <phoneticPr fontId="2" type="noConversion"/>
  <conditionalFormatting sqref="F40:G1048576 F1:G14 I1:J14 L1:M14 L40:M1048576 I40:J1048576">
    <cfRule type="cellIs" dxfId="114" priority="5" operator="equal">
      <formula>1</formula>
    </cfRule>
  </conditionalFormatting>
  <conditionalFormatting sqref="M15:M39">
    <cfRule type="cellIs" dxfId="113" priority="3" operator="equal">
      <formula>1</formula>
    </cfRule>
  </conditionalFormatting>
  <conditionalFormatting sqref="F15:G15 F20:G20 G16:G19 F30:G30 G26:G29 F25:G25 G21:G24 F35 G31:G39">
    <cfRule type="cellIs" dxfId="112" priority="4" operator="equal">
      <formula>1</formula>
    </cfRule>
  </conditionalFormatting>
  <conditionalFormatting sqref="I15:J15 I20 I30 I25 I35 J16:J39">
    <cfRule type="cellIs" dxfId="111" priority="2" operator="equal">
      <formula>1</formula>
    </cfRule>
  </conditionalFormatting>
  <conditionalFormatting sqref="L15 L20 L30 L25 L35">
    <cfRule type="cellIs" dxfId="11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9"/>
  <sheetViews>
    <sheetView showGridLines="0" zoomScale="85" zoomScaleNormal="85" workbookViewId="0">
      <selection activeCell="AB48" sqref="AB48"/>
    </sheetView>
  </sheetViews>
  <sheetFormatPr defaultColWidth="9" defaultRowHeight="13.5"/>
  <cols>
    <col min="1" max="5" width="9" style="169"/>
    <col min="6" max="7" width="5.375" style="169" customWidth="1"/>
    <col min="8" max="8" width="9" style="169"/>
    <col min="9" max="10" width="5.375" style="169" customWidth="1"/>
    <col min="11" max="11" width="9" style="169"/>
    <col min="12" max="13" width="5.375" style="169" customWidth="1"/>
    <col min="14" max="14" width="9" style="170"/>
    <col min="15" max="15" width="9.375" style="171" bestFit="1" customWidth="1"/>
    <col min="16" max="18" width="9" style="169"/>
    <col min="19" max="20" width="9" style="172" hidden="1" customWidth="1"/>
    <col min="21" max="23" width="9" style="169" hidden="1" customWidth="1"/>
    <col min="24" max="16384" width="9" style="169"/>
  </cols>
  <sheetData>
    <row r="2" spans="2:24">
      <c r="B2" s="550" t="s">
        <v>154</v>
      </c>
      <c r="C2" s="166" t="s">
        <v>156</v>
      </c>
      <c r="D2" s="167" t="str">
        <f>VLOOKUP(E2,$T$15:$V$39,3,0)</f>
        <v>이수용</v>
      </c>
      <c r="E2" s="168">
        <f t="array" ref="E2">MAX(IF($S$15:$S$39="남",$T$15:$T$39))</f>
        <v>215</v>
      </c>
    </row>
    <row r="3" spans="2:24">
      <c r="B3" s="551"/>
      <c r="C3" s="166" t="s">
        <v>157</v>
      </c>
      <c r="D3" s="167" t="str">
        <f>VLOOKUP(E3,$T$15:$V$39,3,0)</f>
        <v>손하은</v>
      </c>
      <c r="E3" s="173">
        <f t="array" ref="E3">MAX(IF($S$15:$S$39="여",$T$15:$T$39))</f>
        <v>178</v>
      </c>
    </row>
    <row r="4" spans="2:24">
      <c r="B4" s="550" t="s">
        <v>158</v>
      </c>
      <c r="C4" s="166" t="s">
        <v>156</v>
      </c>
      <c r="D4" s="167" t="str">
        <f>VLOOKUP(E4,$U$15:$V$34,2,0)</f>
        <v>조문수</v>
      </c>
      <c r="E4" s="168">
        <f t="array" ref="E4">MAX(IF($S$15:$S$39="남",$U$15:$U$39))</f>
        <v>183.66666666666666</v>
      </c>
    </row>
    <row r="5" spans="2:24">
      <c r="B5" s="551"/>
      <c r="C5" s="166" t="s">
        <v>157</v>
      </c>
      <c r="D5" s="167" t="str">
        <f>VLOOKUP(E5,$U$15:$V$39,2,0)</f>
        <v>성소라</v>
      </c>
      <c r="E5" s="173">
        <f t="array" ref="E5">MAX(IF($S$15:$S$39="여",$U$15:$U$39))</f>
        <v>148.66666666666666</v>
      </c>
    </row>
    <row r="6" spans="2:24" ht="16.5">
      <c r="B6" s="550" t="s">
        <v>224</v>
      </c>
      <c r="C6" s="235" t="s">
        <v>154</v>
      </c>
      <c r="D6" s="554" t="s">
        <v>38</v>
      </c>
      <c r="E6" s="472"/>
    </row>
    <row r="7" spans="2:24" ht="16.5">
      <c r="B7" s="552"/>
      <c r="C7" s="235" t="s">
        <v>226</v>
      </c>
      <c r="D7" s="554" t="s">
        <v>24</v>
      </c>
      <c r="E7" s="472"/>
    </row>
    <row r="8" spans="2:24" ht="16.5">
      <c r="B8" s="552"/>
      <c r="C8" s="235" t="s">
        <v>88</v>
      </c>
      <c r="D8" s="554" t="s">
        <v>239</v>
      </c>
      <c r="E8" s="498"/>
    </row>
    <row r="9" spans="2:24" ht="16.5">
      <c r="B9" s="557"/>
      <c r="C9" s="235" t="s">
        <v>227</v>
      </c>
      <c r="D9" s="554" t="s">
        <v>294</v>
      </c>
      <c r="E9" s="472"/>
    </row>
    <row r="10" spans="2:24" ht="16.5">
      <c r="B10" s="553"/>
      <c r="C10" s="166" t="s">
        <v>229</v>
      </c>
      <c r="D10" s="554" t="s">
        <v>239</v>
      </c>
      <c r="E10" s="472"/>
    </row>
    <row r="12" spans="2:24" ht="16.5" customHeight="1">
      <c r="C12" s="543" t="s">
        <v>140</v>
      </c>
      <c r="D12" s="543" t="s">
        <v>3</v>
      </c>
      <c r="E12" s="544" t="s">
        <v>141</v>
      </c>
      <c r="F12" s="545"/>
      <c r="G12" s="545"/>
      <c r="H12" s="545"/>
      <c r="I12" s="545"/>
      <c r="J12" s="545"/>
      <c r="K12" s="545"/>
      <c r="L12" s="174"/>
      <c r="M12" s="174"/>
      <c r="N12" s="569" t="s">
        <v>142</v>
      </c>
      <c r="O12" s="572" t="s">
        <v>184</v>
      </c>
      <c r="P12" s="575" t="s">
        <v>169</v>
      </c>
      <c r="Q12" s="576"/>
      <c r="R12" s="540" t="s">
        <v>143</v>
      </c>
    </row>
    <row r="13" spans="2:24">
      <c r="C13" s="543"/>
      <c r="D13" s="543"/>
      <c r="E13" s="544">
        <v>1</v>
      </c>
      <c r="F13" s="545"/>
      <c r="G13" s="560"/>
      <c r="H13" s="544">
        <v>2</v>
      </c>
      <c r="I13" s="545"/>
      <c r="J13" s="560"/>
      <c r="K13" s="544">
        <v>3</v>
      </c>
      <c r="L13" s="545"/>
      <c r="M13" s="560"/>
      <c r="N13" s="570"/>
      <c r="O13" s="573"/>
      <c r="P13" s="577"/>
      <c r="Q13" s="578"/>
      <c r="R13" s="558"/>
      <c r="X13" s="172"/>
    </row>
    <row r="14" spans="2:24" ht="27">
      <c r="C14" s="543"/>
      <c r="D14" s="543"/>
      <c r="E14" s="175" t="s">
        <v>150</v>
      </c>
      <c r="F14" s="176" t="s">
        <v>152</v>
      </c>
      <c r="G14" s="177" t="s">
        <v>153</v>
      </c>
      <c r="H14" s="175" t="s">
        <v>150</v>
      </c>
      <c r="I14" s="176" t="s">
        <v>152</v>
      </c>
      <c r="J14" s="177" t="s">
        <v>153</v>
      </c>
      <c r="K14" s="175" t="s">
        <v>150</v>
      </c>
      <c r="L14" s="176" t="s">
        <v>152</v>
      </c>
      <c r="M14" s="177" t="s">
        <v>153</v>
      </c>
      <c r="N14" s="571"/>
      <c r="O14" s="574"/>
      <c r="P14" s="178" t="s">
        <v>144</v>
      </c>
      <c r="Q14" s="259" t="s">
        <v>168</v>
      </c>
      <c r="R14" s="559"/>
      <c r="T14" s="172" t="s">
        <v>170</v>
      </c>
      <c r="U14" s="169" t="s">
        <v>171</v>
      </c>
    </row>
    <row r="15" spans="2:24">
      <c r="C15" s="561" t="s">
        <v>145</v>
      </c>
      <c r="D15" s="180" t="s">
        <v>9</v>
      </c>
      <c r="E15" s="181">
        <f>IFERROR(VLOOKUP(D15,'미니게임_DATA(순)'!$A$5:$EV$38,86,0),0)</f>
        <v>189</v>
      </c>
      <c r="F15" s="563">
        <f>RANK(E19,($E$19,$E$24,$E$29,$E$34,E$39))</f>
        <v>1</v>
      </c>
      <c r="G15" s="566">
        <f>F15</f>
        <v>1</v>
      </c>
      <c r="H15" s="181">
        <f>IFERROR(VLOOKUP(D15,'미니게임_DATA(순)'!$A$5:$EV$38,87,0),0)</f>
        <v>162</v>
      </c>
      <c r="I15" s="563">
        <f>RANK(H19,($H$19,$H$24,$H$29,$H$34,H$39))</f>
        <v>1</v>
      </c>
      <c r="J15" s="566">
        <f>RANK(W19,($W$19,$W$24,$W$29,$W$34,$W$39))</f>
        <v>1</v>
      </c>
      <c r="K15" s="181">
        <f>IFERROR(VLOOKUP(D15,'미니게임_DATA(순)'!$A$5:$EV$38,88,0),0)</f>
        <v>161</v>
      </c>
      <c r="L15" s="563">
        <f>RANK(K19,($K$19,$K$24,$K$29,$K$34,$K$39))</f>
        <v>4</v>
      </c>
      <c r="M15" s="566">
        <f>P15</f>
        <v>2</v>
      </c>
      <c r="N15" s="181">
        <f>E15+H15+K15</f>
        <v>512</v>
      </c>
      <c r="O15" s="183">
        <f>N15/3</f>
        <v>170.66666666666666</v>
      </c>
      <c r="P15" s="579">
        <f>RANK(N19,($N$19,$N$24,$N$29,$N$34,$N$39))</f>
        <v>2</v>
      </c>
      <c r="Q15" s="586">
        <f>MAX($N$19,$N$24,N$29,N$34,N$39)-N19</f>
        <v>56</v>
      </c>
      <c r="R15" s="184">
        <f>IFERROR(O15-VLOOKUP(D15,'미니게임_DATA(순)'!$A:$FB,MATCH("rct 10g avg",'미니게임_DATA(순)'!$A$3:$FB$3,0),0),0)</f>
        <v>9.4666666666666686</v>
      </c>
      <c r="S15" s="172" t="str">
        <f>VLOOKUP(D15,미니게임_DATA!$A:$BW,MATCH("성별",미니게임_DATA!$A$3:$BW$3,0),0)</f>
        <v>남</v>
      </c>
      <c r="T15" s="185">
        <f>MAX(  E15,H15,K15)</f>
        <v>189</v>
      </c>
      <c r="U15" s="186">
        <f>AVERAGE(E15,H15,K15)</f>
        <v>170.66666666666666</v>
      </c>
      <c r="V15" s="187" t="str">
        <f>D15</f>
        <v>백동민</v>
      </c>
    </row>
    <row r="16" spans="2:24">
      <c r="C16" s="562"/>
      <c r="D16" s="188" t="s">
        <v>17</v>
      </c>
      <c r="E16" s="181">
        <f>IFERROR(VLOOKUP(D16,'미니게임_DATA(순)'!$A$5:$EV$38,86,0),0)</f>
        <v>176</v>
      </c>
      <c r="F16" s="564"/>
      <c r="G16" s="567"/>
      <c r="H16" s="181">
        <f>IFERROR(VLOOKUP(D16,'미니게임_DATA(순)'!$A$5:$EV$38,87,0),0)</f>
        <v>177</v>
      </c>
      <c r="I16" s="564"/>
      <c r="J16" s="567"/>
      <c r="K16" s="181">
        <f>IFERROR(VLOOKUP(D16,'미니게임_DATA(순)'!$A$5:$EV$38,88,0),0)</f>
        <v>165</v>
      </c>
      <c r="L16" s="564"/>
      <c r="M16" s="567"/>
      <c r="N16" s="182">
        <f t="shared" ref="N16:N19" si="0">E16+H16+K16</f>
        <v>518</v>
      </c>
      <c r="O16" s="189">
        <f t="shared" ref="O16:O18" si="1">N16/3</f>
        <v>172.66666666666666</v>
      </c>
      <c r="P16" s="580"/>
      <c r="Q16" s="587"/>
      <c r="R16" s="184">
        <f>IFERROR(O16-VLOOKUP(D16,'미니게임_DATA(순)'!$A:$FB,MATCH("rct 10g avg",'미니게임_DATA(순)'!$A$3:$FB$3,0),0),0)</f>
        <v>25.566666666666663</v>
      </c>
      <c r="S16" s="172" t="str">
        <f>VLOOKUP(D16,미니게임_DATA!$A:$BW,MATCH("성별",미니게임_DATA!$A$3:$BW$3,0),0)</f>
        <v>남</v>
      </c>
      <c r="T16" s="185">
        <f t="shared" ref="T16:T17" si="2">MAX(  E16,H16,K16)</f>
        <v>177</v>
      </c>
      <c r="U16" s="186">
        <f t="shared" ref="U16:U17" si="3">AVERAGE(E16,H16,K16)</f>
        <v>172.66666666666666</v>
      </c>
      <c r="V16" s="187" t="str">
        <f t="shared" ref="V16:V34" si="4">D16</f>
        <v>한희용</v>
      </c>
    </row>
    <row r="17" spans="3:23">
      <c r="C17" s="562"/>
      <c r="D17" s="188" t="s">
        <v>282</v>
      </c>
      <c r="E17" s="181">
        <f>IFERROR(VLOOKUP(D17,'미니게임_DATA(순)'!$A$5:$EV$38,86,0),0)+5</f>
        <v>141</v>
      </c>
      <c r="F17" s="564"/>
      <c r="G17" s="567"/>
      <c r="H17" s="181">
        <f>IFERROR(VLOOKUP(D17,'미니게임_DATA(순)'!$A$5:$EV$38,87,0),0)+5</f>
        <v>178</v>
      </c>
      <c r="I17" s="564"/>
      <c r="J17" s="567"/>
      <c r="K17" s="181">
        <f>IFERROR(VLOOKUP(D17,'미니게임_DATA(순)'!$A$5:$EV$38,88,0),0)+5</f>
        <v>111</v>
      </c>
      <c r="L17" s="564"/>
      <c r="M17" s="567"/>
      <c r="N17" s="182">
        <f t="shared" si="0"/>
        <v>430</v>
      </c>
      <c r="O17" s="189">
        <f t="shared" si="1"/>
        <v>143.33333333333334</v>
      </c>
      <c r="P17" s="580"/>
      <c r="Q17" s="587"/>
      <c r="R17" s="184">
        <f>IFERROR(O17-VLOOKUP(D17,'미니게임_DATA(순)'!$A:$FB,MATCH("rct 10g avg",'미니게임_DATA(순)'!$A$3:$FB$3,0),0),0)</f>
        <v>-18.766666666666652</v>
      </c>
      <c r="S17" s="172" t="s">
        <v>157</v>
      </c>
      <c r="T17" s="185">
        <f t="shared" si="2"/>
        <v>178</v>
      </c>
      <c r="U17" s="186">
        <f t="shared" si="3"/>
        <v>143.33333333333334</v>
      </c>
      <c r="V17" s="187" t="str">
        <f t="shared" si="4"/>
        <v>손하은</v>
      </c>
    </row>
    <row r="18" spans="3:23">
      <c r="C18" s="562"/>
      <c r="D18" s="191"/>
      <c r="E18" s="182"/>
      <c r="F18" s="564"/>
      <c r="G18" s="567"/>
      <c r="H18" s="182"/>
      <c r="I18" s="564"/>
      <c r="J18" s="567"/>
      <c r="K18" s="182"/>
      <c r="L18" s="564"/>
      <c r="M18" s="567"/>
      <c r="N18" s="182">
        <f t="shared" si="0"/>
        <v>0</v>
      </c>
      <c r="O18" s="189">
        <f t="shared" si="1"/>
        <v>0</v>
      </c>
      <c r="P18" s="580"/>
      <c r="Q18" s="587"/>
      <c r="R18" s="184">
        <f>IFERROR(O18-VLOOKUP(D18,'미니게임_DATA(순)'!$A:$FB,MATCH("rct 10g avg",'미니게임_DATA(순)'!$A$3:$FB$3,0),0),0)</f>
        <v>0</v>
      </c>
      <c r="T18" s="185"/>
      <c r="U18" s="186"/>
      <c r="V18" s="187"/>
    </row>
    <row r="19" spans="3:23">
      <c r="C19" s="192"/>
      <c r="D19" s="193"/>
      <c r="E19" s="194">
        <f>SUMIF(E15:E18, "&gt;0")</f>
        <v>506</v>
      </c>
      <c r="F19" s="565"/>
      <c r="G19" s="568"/>
      <c r="H19" s="194">
        <f>SUMIF(H15:H18, "&gt;0")</f>
        <v>517</v>
      </c>
      <c r="I19" s="565"/>
      <c r="J19" s="568"/>
      <c r="K19" s="194">
        <f>SUMIF(K15:K18, "&gt;0")</f>
        <v>437</v>
      </c>
      <c r="L19" s="565"/>
      <c r="M19" s="568"/>
      <c r="N19" s="194">
        <f t="shared" si="0"/>
        <v>1460</v>
      </c>
      <c r="O19" s="195"/>
      <c r="P19" s="581"/>
      <c r="Q19" s="588"/>
      <c r="R19" s="184">
        <f>IFERROR(O19-VLOOKUP(D19,'미니게임_DATA(순)'!$A:$FB,MATCH("rct 10g avg",'미니게임_DATA(순)'!$A$3:$FB$3,0),0),0)</f>
        <v>0</v>
      </c>
      <c r="S19" s="185">
        <f>N19</f>
        <v>1460</v>
      </c>
      <c r="T19" s="185"/>
      <c r="U19" s="186"/>
      <c r="V19" s="187">
        <f t="shared" si="4"/>
        <v>0</v>
      </c>
      <c r="W19" s="187">
        <f>SUM(E19,H19)</f>
        <v>1023</v>
      </c>
    </row>
    <row r="20" spans="3:23">
      <c r="C20" s="561" t="s">
        <v>146</v>
      </c>
      <c r="D20" s="180" t="s">
        <v>22</v>
      </c>
      <c r="E20" s="181">
        <f>IFERROR(VLOOKUP(D20,'미니게임_DATA(순)'!$A$5:$EV$38,86,0),0)</f>
        <v>104</v>
      </c>
      <c r="F20" s="563">
        <f>RANK(E24,($E$19,$E$24,$E$29,$E$34,E$39))</f>
        <v>3</v>
      </c>
      <c r="G20" s="566">
        <f t="shared" ref="G20" si="5">F20</f>
        <v>3</v>
      </c>
      <c r="H20" s="181">
        <f>IFERROR(VLOOKUP(D20,'미니게임_DATA(순)'!$A$5:$EV$38,87,0),0)</f>
        <v>126</v>
      </c>
      <c r="I20" s="563">
        <f>RANK(H24,($H$19,$H$24,$H$29,$H$34,H$39))</f>
        <v>4</v>
      </c>
      <c r="J20" s="566">
        <f>RANK(W24,($W$19,$W$24,$W$29,$W$34,$W$39))</f>
        <v>4</v>
      </c>
      <c r="K20" s="181">
        <f>IFERROR(VLOOKUP(D20,'미니게임_DATA(순)'!$A$5:$EV$38,88,0),0)</f>
        <v>177</v>
      </c>
      <c r="L20" s="563">
        <f>RANK(K24,($K$19,$K$24,$K$29,$K$34,$K$39))</f>
        <v>2</v>
      </c>
      <c r="M20" s="566">
        <f t="shared" ref="M20" si="6">P20</f>
        <v>4</v>
      </c>
      <c r="N20" s="181">
        <f>E20+H20+K20</f>
        <v>407</v>
      </c>
      <c r="O20" s="183">
        <f>N20/3</f>
        <v>135.66666666666666</v>
      </c>
      <c r="P20" s="579">
        <f>RANK(N24,($N$19,$N$24,$N$29,$N$34,$N$39))</f>
        <v>4</v>
      </c>
      <c r="Q20" s="582">
        <f>MAX($N$19,$N$24,N$29,N$34,N$39)-N24</f>
        <v>134</v>
      </c>
      <c r="R20" s="184">
        <f>IFERROR(O20-VLOOKUP(D20,'미니게임_DATA(순)'!$A:$FB,MATCH("rct 10g avg",'미니게임_DATA(순)'!$A$3:$FB$3,0),0),0)</f>
        <v>-7.7333333333333485</v>
      </c>
      <c r="S20" s="172" t="str">
        <f>VLOOKUP(D20,미니게임_DATA!$A:$BW,MATCH("성별",미니게임_DATA!$A$3:$BW$3,0),0)</f>
        <v>남</v>
      </c>
      <c r="T20" s="185">
        <f>MAX(  E20,H20,K20)</f>
        <v>177</v>
      </c>
      <c r="U20" s="186">
        <f>AVERAGE(E20,H20,K20)</f>
        <v>135.66666666666666</v>
      </c>
      <c r="V20" s="187" t="str">
        <f t="shared" si="4"/>
        <v>이강은</v>
      </c>
    </row>
    <row r="21" spans="3:23">
      <c r="C21" s="585"/>
      <c r="D21" s="197" t="s">
        <v>14</v>
      </c>
      <c r="E21" s="181">
        <f>IFERROR(VLOOKUP(D21,'미니게임_DATA(순)'!$A$5:$EV$38,86,0),0)</f>
        <v>181</v>
      </c>
      <c r="F21" s="564"/>
      <c r="G21" s="567"/>
      <c r="H21" s="181">
        <f>IFERROR(VLOOKUP(D21,'미니게임_DATA(순)'!$A$5:$EV$38,87,0),0)</f>
        <v>197</v>
      </c>
      <c r="I21" s="564"/>
      <c r="J21" s="567"/>
      <c r="K21" s="181">
        <f>IFERROR(VLOOKUP(D21,'미니게임_DATA(순)'!$A$5:$EV$38,88,0),0)</f>
        <v>147</v>
      </c>
      <c r="L21" s="564"/>
      <c r="M21" s="567"/>
      <c r="N21" s="182">
        <f t="shared" ref="N21:N23" si="7">E21+H21+K21</f>
        <v>525</v>
      </c>
      <c r="O21" s="189">
        <f t="shared" ref="O21:O23" si="8">N21/3</f>
        <v>175</v>
      </c>
      <c r="P21" s="580"/>
      <c r="Q21" s="583"/>
      <c r="R21" s="184">
        <f>IFERROR(O21-VLOOKUP(D21,'미니게임_DATA(순)'!$A:$FB,MATCH("rct 10g avg",'미니게임_DATA(순)'!$A$3:$FB$3,0),0),0)</f>
        <v>12.800000000000011</v>
      </c>
      <c r="S21" s="172" t="str">
        <f>VLOOKUP(D21,미니게임_DATA!$A:$BW,MATCH("성별",미니게임_DATA!$A$3:$BW$3,0),0)</f>
        <v>남</v>
      </c>
      <c r="T21" s="185">
        <f>MAX(  E21,H21,K21)</f>
        <v>197</v>
      </c>
      <c r="U21" s="186">
        <f>AVERAGE(E21,H21,K21)</f>
        <v>175</v>
      </c>
      <c r="V21" s="187" t="str">
        <f t="shared" si="4"/>
        <v>채승엽</v>
      </c>
    </row>
    <row r="22" spans="3:23">
      <c r="C22" s="562"/>
      <c r="D22" s="188" t="s">
        <v>269</v>
      </c>
      <c r="E22" s="181">
        <v>150</v>
      </c>
      <c r="F22" s="564"/>
      <c r="G22" s="567"/>
      <c r="H22" s="181">
        <v>150</v>
      </c>
      <c r="I22" s="564"/>
      <c r="J22" s="567"/>
      <c r="K22" s="181">
        <v>150</v>
      </c>
      <c r="L22" s="564"/>
      <c r="M22" s="567"/>
      <c r="N22" s="182">
        <f t="shared" si="7"/>
        <v>450</v>
      </c>
      <c r="O22" s="189">
        <f t="shared" si="8"/>
        <v>150</v>
      </c>
      <c r="P22" s="580"/>
      <c r="Q22" s="583"/>
      <c r="R22" s="184">
        <f>IFERROR(O22-VLOOKUP(D22,'미니게임_DATA(순)'!$A:$FB,MATCH("rct 10g avg",'미니게임_DATA(순)'!$A$3:$FB$3,0),0),0)</f>
        <v>0</v>
      </c>
      <c r="T22" s="185"/>
      <c r="U22" s="186"/>
      <c r="V22" s="187"/>
    </row>
    <row r="23" spans="3:23">
      <c r="C23" s="562"/>
      <c r="D23" s="188"/>
      <c r="E23" s="182"/>
      <c r="F23" s="564"/>
      <c r="G23" s="567"/>
      <c r="H23" s="182"/>
      <c r="I23" s="564"/>
      <c r="J23" s="567"/>
      <c r="K23" s="182"/>
      <c r="L23" s="564"/>
      <c r="M23" s="567"/>
      <c r="N23" s="182">
        <f t="shared" si="7"/>
        <v>0</v>
      </c>
      <c r="O23" s="189">
        <f t="shared" si="8"/>
        <v>0</v>
      </c>
      <c r="P23" s="580"/>
      <c r="Q23" s="583"/>
      <c r="R23" s="184">
        <f>IFERROR(O23-VLOOKUP(D23,'미니게임_DATA(순)'!$A:$FB,MATCH("rct 10g avg",'미니게임_DATA(순)'!$A$3:$FB$3,0),0),0)</f>
        <v>0</v>
      </c>
      <c r="T23" s="185"/>
      <c r="U23" s="186"/>
      <c r="V23" s="187"/>
    </row>
    <row r="24" spans="3:23">
      <c r="C24" s="192"/>
      <c r="D24" s="193"/>
      <c r="E24" s="194">
        <f t="shared" ref="E24" si="9">SUMIF(E20:E23, "&gt;0")</f>
        <v>435</v>
      </c>
      <c r="F24" s="565"/>
      <c r="G24" s="568"/>
      <c r="H24" s="194">
        <f t="shared" ref="H24" si="10">SUMIF(H20:H23, "&gt;0")</f>
        <v>473</v>
      </c>
      <c r="I24" s="565"/>
      <c r="J24" s="568"/>
      <c r="K24" s="194">
        <f>SUMIF(K20:K23, "&gt;0")</f>
        <v>474</v>
      </c>
      <c r="L24" s="565"/>
      <c r="M24" s="568"/>
      <c r="N24" s="194">
        <f>E24+H24+K24</f>
        <v>1382</v>
      </c>
      <c r="O24" s="195"/>
      <c r="P24" s="581"/>
      <c r="Q24" s="584"/>
      <c r="R24" s="184">
        <f>IFERROR(O24-VLOOKUP(D24,'미니게임_DATA(순)'!$A:$FB,MATCH("rct 10g avg",'미니게임_DATA(순)'!$A$3:$FB$3,0),0),0)</f>
        <v>0</v>
      </c>
      <c r="S24" s="185">
        <f>N24</f>
        <v>1382</v>
      </c>
      <c r="T24" s="185"/>
      <c r="U24" s="186"/>
      <c r="V24" s="187">
        <f t="shared" si="4"/>
        <v>0</v>
      </c>
      <c r="W24" s="187">
        <f>SUM(E24,H24)</f>
        <v>908</v>
      </c>
    </row>
    <row r="25" spans="3:23">
      <c r="C25" s="561" t="s">
        <v>147</v>
      </c>
      <c r="D25" s="180" t="s">
        <v>13</v>
      </c>
      <c r="E25" s="181">
        <f>IFERROR(VLOOKUP(D25,'미니게임_DATA(순)'!$A$5:$EV$38,86,0),0)</f>
        <v>135</v>
      </c>
      <c r="F25" s="563">
        <f>RANK(E29,($E$19,$E$24,$E$29,$E$34,E$39))</f>
        <v>4</v>
      </c>
      <c r="G25" s="566">
        <f t="shared" ref="G25" si="11">F25</f>
        <v>4</v>
      </c>
      <c r="H25" s="181">
        <f>IFERROR(VLOOKUP(D25,'미니게임_DATA(순)'!$A$5:$EV$38,87,0),0)</f>
        <v>151</v>
      </c>
      <c r="I25" s="563">
        <f>RANK(H29,($H$19,$H$24,$H$29,$H$34,H$39))</f>
        <v>2</v>
      </c>
      <c r="J25" s="566">
        <f>RANK(W29,($W$19,$W$24,$W$29,$W$34,$W$39))</f>
        <v>3</v>
      </c>
      <c r="K25" s="181">
        <f>IFERROR(VLOOKUP(D25,'미니게임_DATA(순)'!$A$5:$EV$38,88,0),0)</f>
        <v>137</v>
      </c>
      <c r="L25" s="563">
        <f>RANK(K29,($K$19,$K$24,$K$29,$K$34,$K$39))</f>
        <v>3</v>
      </c>
      <c r="M25" s="566">
        <f t="shared" ref="M25" si="12">P25</f>
        <v>3</v>
      </c>
      <c r="N25" s="181">
        <f>E25+H25+K25</f>
        <v>423</v>
      </c>
      <c r="O25" s="183">
        <f>N25/3</f>
        <v>141</v>
      </c>
      <c r="P25" s="579">
        <f>RANK(N29,($N$19,$N$24,$N$29,$N$34,$N$39))</f>
        <v>3</v>
      </c>
      <c r="Q25" s="582">
        <f>MAX($N$19,$N$24,N$29,N$34,N$39)-N29</f>
        <v>124</v>
      </c>
      <c r="R25" s="184">
        <f>IFERROR(O25-VLOOKUP(D25,'미니게임_DATA(순)'!$A:$FB,MATCH("rct 10g avg",'미니게임_DATA(순)'!$A$3:$FB$3,0),0),0)</f>
        <v>-18.199999999999989</v>
      </c>
      <c r="S25" s="172" t="s">
        <v>156</v>
      </c>
      <c r="T25" s="185">
        <f>MAX(  E25,H25,K25)</f>
        <v>151</v>
      </c>
      <c r="U25" s="186">
        <f>AVERAGE(E25,H25,K25)</f>
        <v>141</v>
      </c>
      <c r="V25" s="187" t="str">
        <f t="shared" si="4"/>
        <v>정동현</v>
      </c>
    </row>
    <row r="26" spans="3:23">
      <c r="C26" s="562"/>
      <c r="D26" s="188" t="s">
        <v>38</v>
      </c>
      <c r="E26" s="181">
        <f>IFERROR(VLOOKUP(D26,'미니게임_DATA(순)'!$A$5:$EV$38,86,0),0)</f>
        <v>138</v>
      </c>
      <c r="F26" s="564"/>
      <c r="G26" s="567"/>
      <c r="H26" s="181">
        <f>IFERROR(VLOOKUP(D26,'미니게임_DATA(순)'!$A$5:$EV$38,87,0),0)</f>
        <v>215</v>
      </c>
      <c r="I26" s="564"/>
      <c r="J26" s="567"/>
      <c r="K26" s="181">
        <f>IFERROR(VLOOKUP(D26,'미니게임_DATA(순)'!$A$5:$EV$38,88,0),0)</f>
        <v>170</v>
      </c>
      <c r="L26" s="564"/>
      <c r="M26" s="567"/>
      <c r="N26" s="182">
        <f t="shared" ref="N26:N29" si="13">E26+H26+K26</f>
        <v>523</v>
      </c>
      <c r="O26" s="189">
        <f t="shared" ref="O26:O28" si="14">N26/3</f>
        <v>174.33333333333334</v>
      </c>
      <c r="P26" s="580"/>
      <c r="Q26" s="583"/>
      <c r="R26" s="184">
        <f>IFERROR(O26-VLOOKUP(D26,'미니게임_DATA(순)'!$A:$FB,MATCH("rct 10g avg",'미니게임_DATA(순)'!$A$3:$FB$3,0),0),0)</f>
        <v>12.633333333333354</v>
      </c>
      <c r="S26" s="172" t="str">
        <f>VLOOKUP(D26,미니게임_DATA!$A:$BW,MATCH("성별",미니게임_DATA!$A$3:$BW$3,0),0)</f>
        <v>남</v>
      </c>
      <c r="T26" s="185">
        <f>MAX(  E26,H26,K26)</f>
        <v>215</v>
      </c>
      <c r="U26" s="186">
        <f>AVERAGE(E26,H26,K26)</f>
        <v>174.33333333333334</v>
      </c>
      <c r="V26" s="187" t="str">
        <f t="shared" si="4"/>
        <v>이수용</v>
      </c>
    </row>
    <row r="27" spans="3:23">
      <c r="C27" s="562"/>
      <c r="D27" s="188" t="s">
        <v>12</v>
      </c>
      <c r="E27" s="181">
        <f>IFERROR(VLOOKUP(D27,'미니게임_DATA(순)'!$A$5:$EV$38,86,0),0)+5</f>
        <v>148</v>
      </c>
      <c r="F27" s="564"/>
      <c r="G27" s="567"/>
      <c r="H27" s="181">
        <f>IFERROR(VLOOKUP(D27,'미니게임_DATA(순)'!$A$5:$EV$38,87,0),0)+5</f>
        <v>145</v>
      </c>
      <c r="I27" s="564"/>
      <c r="J27" s="567"/>
      <c r="K27" s="181">
        <f>IFERROR(VLOOKUP(D27,'미니게임_DATA(순)'!$A$5:$EV$38,88,0),0)+5</f>
        <v>153</v>
      </c>
      <c r="L27" s="564"/>
      <c r="M27" s="567"/>
      <c r="N27" s="182">
        <f t="shared" si="13"/>
        <v>446</v>
      </c>
      <c r="O27" s="189">
        <f t="shared" si="14"/>
        <v>148.66666666666666</v>
      </c>
      <c r="P27" s="580"/>
      <c r="Q27" s="583"/>
      <c r="R27" s="184">
        <f>IFERROR(O27-VLOOKUP(D27,'미니게임_DATA(순)'!$A:$FB,MATCH("rct 10g avg",'미니게임_DATA(순)'!$A$3:$FB$3,0),0),0)</f>
        <v>11.266666666666652</v>
      </c>
      <c r="S27" s="172" t="str">
        <f>VLOOKUP(D27,미니게임_DATA!$A:$BW,MATCH("성별",미니게임_DATA!$A$3:$BW$3,0),0)</f>
        <v>여</v>
      </c>
      <c r="T27" s="185">
        <f>MAX(  E27,H27,K27)</f>
        <v>153</v>
      </c>
      <c r="U27" s="186">
        <f>AVERAGE(E27,H27,K27)</f>
        <v>148.66666666666666</v>
      </c>
      <c r="V27" s="187" t="str">
        <f t="shared" si="4"/>
        <v>성소라</v>
      </c>
    </row>
    <row r="28" spans="3:23">
      <c r="C28" s="562"/>
      <c r="D28" s="188"/>
      <c r="E28" s="182">
        <f>IFERROR(VLOOKUP(D28,미니게임_DATA!$A:$GT,6,0),0)</f>
        <v>0</v>
      </c>
      <c r="F28" s="564"/>
      <c r="G28" s="567"/>
      <c r="H28" s="182">
        <f>IFERROR(VLOOKUP(D28,미니게임_DATA!$A:$GT,7,0),0)</f>
        <v>0</v>
      </c>
      <c r="I28" s="564"/>
      <c r="J28" s="567"/>
      <c r="K28" s="182">
        <f>IFERROR(VLOOKUP(D28,미니게임_DATA!$A:$GT,8,0),0)</f>
        <v>0</v>
      </c>
      <c r="L28" s="564"/>
      <c r="M28" s="567"/>
      <c r="N28" s="182">
        <f t="shared" si="13"/>
        <v>0</v>
      </c>
      <c r="O28" s="189">
        <f t="shared" si="14"/>
        <v>0</v>
      </c>
      <c r="P28" s="580"/>
      <c r="Q28" s="583"/>
      <c r="R28" s="184">
        <f>IFERROR(O28-VLOOKUP(D28,'미니게임_DATA(순)'!$A:$FB,MATCH("rct 10g avg",'미니게임_DATA(순)'!$A$3:$FB$3,0),0),0)</f>
        <v>0</v>
      </c>
      <c r="T28" s="185"/>
      <c r="U28" s="186"/>
      <c r="V28" s="187"/>
    </row>
    <row r="29" spans="3:23">
      <c r="C29" s="192"/>
      <c r="D29" s="193"/>
      <c r="E29" s="194">
        <f>SUMIF(E25:E28, "&gt;0")</f>
        <v>421</v>
      </c>
      <c r="F29" s="565"/>
      <c r="G29" s="568"/>
      <c r="H29" s="194">
        <f>SUMIF(H25:H28, "&gt;0")</f>
        <v>511</v>
      </c>
      <c r="I29" s="565"/>
      <c r="J29" s="568"/>
      <c r="K29" s="194">
        <f>SUMIF(K25:K28, "&gt;0")</f>
        <v>460</v>
      </c>
      <c r="L29" s="565"/>
      <c r="M29" s="568"/>
      <c r="N29" s="194">
        <f t="shared" si="13"/>
        <v>1392</v>
      </c>
      <c r="O29" s="195"/>
      <c r="P29" s="581"/>
      <c r="Q29" s="584"/>
      <c r="R29" s="184">
        <f>IFERROR(O29-VLOOKUP(D29,'미니게임_DATA(순)'!$A:$FB,MATCH("rct 10g avg",'미니게임_DATA(순)'!$A$3:$FB$3,0),0),0)</f>
        <v>0</v>
      </c>
      <c r="S29" s="185">
        <f>N29</f>
        <v>1392</v>
      </c>
      <c r="T29" s="185"/>
      <c r="U29" s="186"/>
      <c r="V29" s="187">
        <f t="shared" si="4"/>
        <v>0</v>
      </c>
      <c r="W29" s="187">
        <f>SUM(E29,H29)</f>
        <v>932</v>
      </c>
    </row>
    <row r="30" spans="3:23">
      <c r="C30" s="561" t="s">
        <v>148</v>
      </c>
      <c r="D30" s="180" t="s">
        <v>8</v>
      </c>
      <c r="E30" s="181">
        <f>IFERROR(VLOOKUP(D30,'미니게임_DATA(순)'!$A$5:$EV$38,86,0),0)</f>
        <v>177</v>
      </c>
      <c r="F30" s="563">
        <f>RANK(E34,($E$19,$E$24,$E$29,$E$34,$E$39))</f>
        <v>2</v>
      </c>
      <c r="G30" s="566">
        <f t="shared" ref="G30" si="15">F30</f>
        <v>2</v>
      </c>
      <c r="H30" s="181">
        <f>IFERROR(VLOOKUP(D30,'미니게임_DATA(순)'!$A$5:$EV$38,87,0),0)</f>
        <v>172</v>
      </c>
      <c r="I30" s="563">
        <f>RANK(H34,($H$19,$H$24,$H$29,$H$34,H$39))</f>
        <v>3</v>
      </c>
      <c r="J30" s="566">
        <f>RANK(W34,($W$19,$W$24,$W$29,$W$34,$W$39))</f>
        <v>2</v>
      </c>
      <c r="K30" s="181">
        <f>IFERROR(VLOOKUP(D30,'미니게임_DATA(순)'!$A$5:$EV$38,88,0),0)</f>
        <v>202</v>
      </c>
      <c r="L30" s="563">
        <f>RANK(K34,($K$19,$K$24,$K$29,$K$34,$K$39))</f>
        <v>1</v>
      </c>
      <c r="M30" s="566">
        <f t="shared" ref="M30" si="16">P30</f>
        <v>1</v>
      </c>
      <c r="N30" s="181">
        <f>E30+H30+K30</f>
        <v>551</v>
      </c>
      <c r="O30" s="183">
        <f>N30/3</f>
        <v>183.66666666666666</v>
      </c>
      <c r="P30" s="579">
        <f>RANK(N34,($N$19,$N$24,$N$29,$N$34,$N$39))</f>
        <v>1</v>
      </c>
      <c r="Q30" s="582">
        <f>MAX($N$19,$N$24,N$29,N$34,N$39)-N34</f>
        <v>0</v>
      </c>
      <c r="R30" s="184">
        <f>IFERROR(O30-VLOOKUP(D30,'미니게임_DATA(순)'!$A:$FB,MATCH("rct 10g avg",'미니게임_DATA(순)'!$A$3:$FB$3,0),0),0)</f>
        <v>-1.6333333333333542</v>
      </c>
      <c r="S30" s="172" t="str">
        <f>VLOOKUP(D30,미니게임_DATA!$A:$BW,MATCH("성별",미니게임_DATA!$A$3:$BW$3,0),0)</f>
        <v>남</v>
      </c>
      <c r="T30" s="185">
        <f>MAX(  E30,H30,K30)</f>
        <v>202</v>
      </c>
      <c r="U30" s="186">
        <f>AVERAGE(E30,H30,K30)</f>
        <v>183.66666666666666</v>
      </c>
      <c r="V30" s="187" t="str">
        <f t="shared" si="4"/>
        <v>조문수</v>
      </c>
    </row>
    <row r="31" spans="3:23">
      <c r="C31" s="585"/>
      <c r="D31" s="197" t="s">
        <v>24</v>
      </c>
      <c r="E31" s="181">
        <f>IFERROR(VLOOKUP(D31,'미니게임_DATA(순)'!$A$5:$EV$38,86,0),0)</f>
        <v>142</v>
      </c>
      <c r="F31" s="564"/>
      <c r="G31" s="567"/>
      <c r="H31" s="181">
        <f>IFERROR(VLOOKUP(D31,'미니게임_DATA(순)'!$A$5:$EV$38,87,0),0)</f>
        <v>170</v>
      </c>
      <c r="I31" s="564"/>
      <c r="J31" s="567"/>
      <c r="K31" s="181">
        <f>IFERROR(VLOOKUP(D31,'미니게임_DATA(순)'!$A$5:$EV$38,88,0),0)</f>
        <v>203</v>
      </c>
      <c r="L31" s="564"/>
      <c r="M31" s="567"/>
      <c r="N31" s="182">
        <f t="shared" ref="N31:N39" si="17">E31+H31+K31</f>
        <v>515</v>
      </c>
      <c r="O31" s="189">
        <f t="shared" ref="O31:O33" si="18">N31/3</f>
        <v>171.66666666666666</v>
      </c>
      <c r="P31" s="580"/>
      <c r="Q31" s="583"/>
      <c r="R31" s="184">
        <f>IFERROR(O31-VLOOKUP(D31,'미니게임_DATA(순)'!$A:$FB,MATCH("rct 10g avg",'미니게임_DATA(순)'!$A$3:$FB$3,0),0),0)</f>
        <v>12.866666666666646</v>
      </c>
      <c r="S31" s="172" t="s">
        <v>156</v>
      </c>
      <c r="T31" s="185">
        <f>MAX(  E31,H31,K31)</f>
        <v>203</v>
      </c>
      <c r="U31" s="186">
        <f>AVERAGE(E31,H31,K31)</f>
        <v>171.66666666666666</v>
      </c>
      <c r="V31" s="187" t="str">
        <f t="shared" si="4"/>
        <v>김기선</v>
      </c>
    </row>
    <row r="32" spans="3:23">
      <c r="C32" s="562"/>
      <c r="D32" s="188" t="s">
        <v>268</v>
      </c>
      <c r="E32" s="181">
        <v>150</v>
      </c>
      <c r="F32" s="564"/>
      <c r="G32" s="567"/>
      <c r="H32" s="181">
        <v>150</v>
      </c>
      <c r="I32" s="564"/>
      <c r="J32" s="567"/>
      <c r="K32" s="181">
        <v>150</v>
      </c>
      <c r="L32" s="564"/>
      <c r="M32" s="567"/>
      <c r="N32" s="182">
        <f t="shared" si="17"/>
        <v>450</v>
      </c>
      <c r="O32" s="189">
        <f t="shared" si="18"/>
        <v>150</v>
      </c>
      <c r="P32" s="580"/>
      <c r="Q32" s="583"/>
      <c r="R32" s="184">
        <f>IFERROR(O32-VLOOKUP(D32,'미니게임_DATA(순)'!$A:$FB,MATCH("rct 10g avg",'미니게임_DATA(순)'!$A$3:$FB$3,0),0),0)</f>
        <v>0</v>
      </c>
      <c r="S32" s="172" t="s">
        <v>156</v>
      </c>
      <c r="T32" s="185">
        <f>MAX(  E32,H32,K32)</f>
        <v>150</v>
      </c>
      <c r="U32" s="186">
        <f>AVERAGE(E32,H32,K32)</f>
        <v>150</v>
      </c>
      <c r="V32" s="187" t="str">
        <f t="shared" si="4"/>
        <v>동수2</v>
      </c>
    </row>
    <row r="33" spans="2:24">
      <c r="C33" s="562"/>
      <c r="D33" s="188"/>
      <c r="E33" s="182"/>
      <c r="F33" s="564"/>
      <c r="G33" s="567"/>
      <c r="H33" s="182"/>
      <c r="I33" s="564"/>
      <c r="J33" s="567"/>
      <c r="K33" s="181">
        <f>IFERROR(VLOOKUP(D33,'미니게임_DATA(순)'!$A$5:$BU$38,73,0),0)</f>
        <v>0</v>
      </c>
      <c r="L33" s="564"/>
      <c r="M33" s="567"/>
      <c r="N33" s="182">
        <f t="shared" si="17"/>
        <v>0</v>
      </c>
      <c r="O33" s="189">
        <f t="shared" si="18"/>
        <v>0</v>
      </c>
      <c r="P33" s="580"/>
      <c r="Q33" s="583"/>
      <c r="R33" s="184">
        <f>IFERROR(O33-VLOOKUP(D33,'미니게임_DATA(순)'!$A:$FB,MATCH("rct 10g avg",'미니게임_DATA(순)'!$A$3:$FB$3,0),0),0)</f>
        <v>0</v>
      </c>
      <c r="T33" s="185"/>
      <c r="U33" s="186"/>
      <c r="V33" s="187"/>
    </row>
    <row r="34" spans="2:24">
      <c r="C34" s="192"/>
      <c r="D34" s="193"/>
      <c r="E34" s="194">
        <f t="shared" ref="E34" si="19">SUMIF(E30:E33, "&gt;0")</f>
        <v>469</v>
      </c>
      <c r="F34" s="565"/>
      <c r="G34" s="568"/>
      <c r="H34" s="194">
        <f t="shared" ref="H34" si="20">SUMIF(H30:H33, "&gt;0")</f>
        <v>492</v>
      </c>
      <c r="I34" s="565"/>
      <c r="J34" s="568"/>
      <c r="K34" s="194">
        <f>SUMIF(K30:K33, "&gt;0")</f>
        <v>555</v>
      </c>
      <c r="L34" s="565"/>
      <c r="M34" s="568"/>
      <c r="N34" s="194">
        <f t="shared" si="17"/>
        <v>1516</v>
      </c>
      <c r="O34" s="195"/>
      <c r="P34" s="581"/>
      <c r="Q34" s="584"/>
      <c r="R34" s="184">
        <f>IFERROR(O34-VLOOKUP(D34,'미니게임_DATA(순)'!$A:$FB,MATCH("rct 10g avg",'미니게임_DATA(순)'!$A$3:$FB$3,0),0),0)</f>
        <v>0</v>
      </c>
      <c r="S34" s="185">
        <f>N34</f>
        <v>1516</v>
      </c>
      <c r="T34" s="185"/>
      <c r="U34" s="186"/>
      <c r="V34" s="187">
        <f t="shared" si="4"/>
        <v>0</v>
      </c>
      <c r="W34" s="187">
        <f>SUM(E34,H34)</f>
        <v>961</v>
      </c>
    </row>
    <row r="35" spans="2:24">
      <c r="C35" s="561" t="s">
        <v>149</v>
      </c>
      <c r="D35" s="180" t="s">
        <v>37</v>
      </c>
      <c r="E35" s="181">
        <f>IFERROR(VLOOKUP(D35,'미니게임_DATA(순)'!$A$5:$EV$38,86,0),0)</f>
        <v>0</v>
      </c>
      <c r="F35" s="563">
        <f>RANK(E39,($E$19,$E$24,$E$29,$E$34,$E$39))</f>
        <v>5</v>
      </c>
      <c r="G35" s="566">
        <f t="shared" ref="G35" si="21">F35</f>
        <v>5</v>
      </c>
      <c r="H35" s="181">
        <f>IFERROR(VLOOKUP(D35,'미니게임_DATA(순)'!$A$5:$EV$38,87,0),0)</f>
        <v>0</v>
      </c>
      <c r="I35" s="563">
        <f>RANK(H39,($H$19,$H$24,$H$29,$H$34,H$39))</f>
        <v>5</v>
      </c>
      <c r="J35" s="566">
        <f>RANK(W39,($W$19,$W$24,$W$29,$W$34,$W$39))</f>
        <v>5</v>
      </c>
      <c r="K35" s="181">
        <f>IFERROR(VLOOKUP(D35,'미니게임_DATA(순)'!$A$5:$EV$38,88,0),0)</f>
        <v>0</v>
      </c>
      <c r="L35" s="563">
        <f>RANK(K39,($K$19,$K$24,$K$29,$K$34,$K$39))</f>
        <v>5</v>
      </c>
      <c r="M35" s="566">
        <f t="shared" ref="M35" si="22">P35</f>
        <v>5</v>
      </c>
      <c r="N35" s="181">
        <f>E35+H35+K35</f>
        <v>0</v>
      </c>
      <c r="O35" s="183">
        <f>N35/3</f>
        <v>0</v>
      </c>
      <c r="P35" s="579">
        <f>RANK(N39,($N$19,$N$24,$N$29,$N$34,$N$39))</f>
        <v>5</v>
      </c>
      <c r="Q35" s="582">
        <f>MAX($N$19,$N$24,N$29,N$34,N$39)-N39</f>
        <v>624</v>
      </c>
      <c r="R35" s="184">
        <f>IFERROR(O35-VLOOKUP(D35,'미니게임_DATA(순)'!$A:$FB,MATCH("rct 10g avg",'미니게임_DATA(순)'!$A$3:$FB$3,0),0),0)</f>
        <v>-166.4</v>
      </c>
      <c r="S35" s="172" t="str">
        <f>VLOOKUP(D35,미니게임_DATA!$A:$BW,MATCH("성별",미니게임_DATA!$A$3:$BW$3,0),0)</f>
        <v>남</v>
      </c>
      <c r="T35" s="185">
        <f>MAX(  E35,H35,K35)</f>
        <v>0</v>
      </c>
      <c r="U35" s="186">
        <f>AVERAGE(E35,H35,K35)</f>
        <v>0</v>
      </c>
      <c r="V35" s="187" t="str">
        <f t="shared" ref="V35:V37" si="23">D35</f>
        <v>최은규</v>
      </c>
    </row>
    <row r="36" spans="2:24" s="172" customFormat="1">
      <c r="B36" s="169"/>
      <c r="C36" s="585"/>
      <c r="D36" s="197" t="s">
        <v>11</v>
      </c>
      <c r="E36" s="181">
        <f>IFERROR(VLOOKUP(D36,'미니게임_DATA(순)'!$A$5:$EV$38,86,0),0)</f>
        <v>146</v>
      </c>
      <c r="F36" s="564"/>
      <c r="G36" s="567"/>
      <c r="H36" s="181">
        <f>IFERROR(VLOOKUP(D36,'미니게임_DATA(순)'!$A$5:$EV$38,87,0),0)</f>
        <v>161</v>
      </c>
      <c r="I36" s="564"/>
      <c r="J36" s="567"/>
      <c r="K36" s="181">
        <f>IFERROR(VLOOKUP(D36,'미니게임_DATA(순)'!$A$5:$EV$38,88,0),0)</f>
        <v>152</v>
      </c>
      <c r="L36" s="564"/>
      <c r="M36" s="567"/>
      <c r="N36" s="182">
        <f t="shared" si="17"/>
        <v>459</v>
      </c>
      <c r="O36" s="183">
        <f t="shared" ref="O36:O38" si="24">N36/3</f>
        <v>153</v>
      </c>
      <c r="P36" s="580"/>
      <c r="Q36" s="583"/>
      <c r="R36" s="184">
        <f>IFERROR(O36-VLOOKUP(D36,'미니게임_DATA(순)'!$A:$FB,MATCH("rct 10g avg",'미니게임_DATA(순)'!$A$3:$FB$3,0),0),0)</f>
        <v>-5.0999999999999943</v>
      </c>
      <c r="S36" s="172" t="s">
        <v>156</v>
      </c>
      <c r="T36" s="185">
        <f>MAX(  E36,H36,K36)</f>
        <v>161</v>
      </c>
      <c r="U36" s="186">
        <f>AVERAGE(E36,H36,K36)</f>
        <v>153</v>
      </c>
      <c r="V36" s="187" t="str">
        <f t="shared" si="23"/>
        <v>박용승</v>
      </c>
      <c r="W36" s="169"/>
      <c r="X36" s="169"/>
    </row>
    <row r="37" spans="2:24" s="172" customFormat="1">
      <c r="B37" s="169"/>
      <c r="C37" s="562"/>
      <c r="D37" s="188" t="s">
        <v>281</v>
      </c>
      <c r="E37" s="181">
        <f>IFERROR(VLOOKUP(D37,'미니게임_DATA(순)'!$A$5:$EV$38,86,0),0)+23</f>
        <v>139</v>
      </c>
      <c r="F37" s="564"/>
      <c r="G37" s="567"/>
      <c r="H37" s="181">
        <f>IFERROR(VLOOKUP(D37,'미니게임_DATA(순)'!$A$5:$EV$38,87,0),0)+23</f>
        <v>132</v>
      </c>
      <c r="I37" s="564"/>
      <c r="J37" s="567"/>
      <c r="K37" s="181">
        <f>IFERROR(VLOOKUP(D37,'미니게임_DATA(순)'!$A$5:$EV$38,88,0),0)+23</f>
        <v>162</v>
      </c>
      <c r="L37" s="564"/>
      <c r="M37" s="567"/>
      <c r="N37" s="182">
        <f t="shared" si="17"/>
        <v>433</v>
      </c>
      <c r="O37" s="183">
        <f t="shared" si="24"/>
        <v>144.33333333333334</v>
      </c>
      <c r="P37" s="580"/>
      <c r="Q37" s="583"/>
      <c r="R37" s="184">
        <f>IFERROR(O37-VLOOKUP(D37,'미니게임_DATA(순)'!$A:$FB,MATCH("rct 10g avg",'미니게임_DATA(순)'!$A$3:$FB$3,0),0),0)</f>
        <v>-24.766666666666652</v>
      </c>
      <c r="S37" s="172" t="s">
        <v>157</v>
      </c>
      <c r="T37" s="185">
        <f>MAX(  E37,H37,K37)</f>
        <v>162</v>
      </c>
      <c r="U37" s="186">
        <f>AVERAGE(E37,H37,K37)</f>
        <v>144.33333333333334</v>
      </c>
      <c r="V37" s="187" t="str">
        <f t="shared" si="23"/>
        <v>오수인</v>
      </c>
      <c r="W37" s="169"/>
      <c r="X37" s="169"/>
    </row>
    <row r="38" spans="2:24">
      <c r="C38" s="562"/>
      <c r="D38" s="188"/>
      <c r="E38" s="182"/>
      <c r="F38" s="564"/>
      <c r="G38" s="567"/>
      <c r="H38" s="182"/>
      <c r="I38" s="564"/>
      <c r="J38" s="567"/>
      <c r="K38" s="181"/>
      <c r="L38" s="564"/>
      <c r="M38" s="567"/>
      <c r="N38" s="182">
        <f t="shared" si="17"/>
        <v>0</v>
      </c>
      <c r="O38" s="183">
        <f t="shared" si="24"/>
        <v>0</v>
      </c>
      <c r="P38" s="580"/>
      <c r="Q38" s="583"/>
      <c r="R38" s="184">
        <f>IFERROR(O38-VLOOKUP(D38,'미니게임_DATA(순)'!$A:$FB,MATCH("rct 10g avg",'미니게임_DATA(순)'!$A$3:$FB$3,0),0),0)</f>
        <v>0</v>
      </c>
      <c r="T38" s="185"/>
      <c r="U38" s="186"/>
      <c r="V38" s="187"/>
    </row>
    <row r="39" spans="2:24">
      <c r="C39" s="192"/>
      <c r="D39" s="193"/>
      <c r="E39" s="194">
        <f>SUMIF(E35:E38, "&gt;0")</f>
        <v>285</v>
      </c>
      <c r="F39" s="565"/>
      <c r="G39" s="568"/>
      <c r="H39" s="194">
        <f t="shared" ref="H39" si="25">SUMIF(H35:H38, "&gt;0")</f>
        <v>293</v>
      </c>
      <c r="I39" s="565"/>
      <c r="J39" s="568"/>
      <c r="K39" s="194">
        <f>SUMIF(K35:K38, "&gt;0")</f>
        <v>314</v>
      </c>
      <c r="L39" s="565"/>
      <c r="M39" s="568"/>
      <c r="N39" s="194">
        <f t="shared" si="17"/>
        <v>892</v>
      </c>
      <c r="O39" s="183"/>
      <c r="P39" s="581"/>
      <c r="Q39" s="584"/>
      <c r="R39" s="184">
        <f>IFERROR(O39-VLOOKUP(D39,'미니게임_DATA(순)'!$A:$FB,MATCH("rct 10g avg",'미니게임_DATA(순)'!$A$3:$FB$3,0),0),0)</f>
        <v>0</v>
      </c>
      <c r="S39" s="185">
        <f>N39</f>
        <v>892</v>
      </c>
      <c r="T39" s="185"/>
      <c r="U39" s="186"/>
      <c r="V39" s="187">
        <f t="shared" ref="V39" si="26">D39</f>
        <v>0</v>
      </c>
      <c r="W39" s="187">
        <f>SUM(E39,H39)</f>
        <v>578</v>
      </c>
    </row>
  </sheetData>
  <mergeCells count="63">
    <mergeCell ref="B2:B3"/>
    <mergeCell ref="B4:B5"/>
    <mergeCell ref="B6:B10"/>
    <mergeCell ref="D6:E6"/>
    <mergeCell ref="D7:E7"/>
    <mergeCell ref="D8:E8"/>
    <mergeCell ref="D9:E9"/>
    <mergeCell ref="D10:E10"/>
    <mergeCell ref="R12:R14"/>
    <mergeCell ref="E13:G13"/>
    <mergeCell ref="H13:J13"/>
    <mergeCell ref="K13:M13"/>
    <mergeCell ref="C15:C18"/>
    <mergeCell ref="F15:F19"/>
    <mergeCell ref="G15:G19"/>
    <mergeCell ref="I15:I19"/>
    <mergeCell ref="J15:J19"/>
    <mergeCell ref="L15:L19"/>
    <mergeCell ref="C12:C14"/>
    <mergeCell ref="D12:D14"/>
    <mergeCell ref="E12:K12"/>
    <mergeCell ref="N12:N14"/>
    <mergeCell ref="O12:O14"/>
    <mergeCell ref="P12:Q13"/>
    <mergeCell ref="P25:P29"/>
    <mergeCell ref="Q25:Q29"/>
    <mergeCell ref="C20:C23"/>
    <mergeCell ref="F20:F24"/>
    <mergeCell ref="G20:G24"/>
    <mergeCell ref="I20:I24"/>
    <mergeCell ref="J20:J24"/>
    <mergeCell ref="M15:M19"/>
    <mergeCell ref="P15:P19"/>
    <mergeCell ref="Q15:Q19"/>
    <mergeCell ref="L20:L24"/>
    <mergeCell ref="M20:M24"/>
    <mergeCell ref="P20:P24"/>
    <mergeCell ref="Q20:Q24"/>
    <mergeCell ref="L30:L34"/>
    <mergeCell ref="M30:M34"/>
    <mergeCell ref="P30:P34"/>
    <mergeCell ref="Q30:Q34"/>
    <mergeCell ref="C25:C28"/>
    <mergeCell ref="F25:F29"/>
    <mergeCell ref="G25:G29"/>
    <mergeCell ref="C30:C33"/>
    <mergeCell ref="F30:F34"/>
    <mergeCell ref="G30:G34"/>
    <mergeCell ref="I30:I34"/>
    <mergeCell ref="J30:J34"/>
    <mergeCell ref="I25:I29"/>
    <mergeCell ref="J25:J29"/>
    <mergeCell ref="L25:L29"/>
    <mergeCell ref="M25:M29"/>
    <mergeCell ref="M35:M39"/>
    <mergeCell ref="P35:P39"/>
    <mergeCell ref="Q35:Q39"/>
    <mergeCell ref="C35:C38"/>
    <mergeCell ref="F35:F39"/>
    <mergeCell ref="G35:G39"/>
    <mergeCell ref="I35:I39"/>
    <mergeCell ref="J35:J39"/>
    <mergeCell ref="L35:L39"/>
  </mergeCells>
  <phoneticPr fontId="2" type="noConversion"/>
  <conditionalFormatting sqref="F40:G1048576 F1:G14 I1:J14 L1:M14 L40:M1048576 I40:J1048576">
    <cfRule type="cellIs" dxfId="109" priority="9" operator="equal">
      <formula>1</formula>
    </cfRule>
  </conditionalFormatting>
  <conditionalFormatting sqref="M15:M39">
    <cfRule type="cellIs" dxfId="108" priority="7" operator="equal">
      <formula>1</formula>
    </cfRule>
  </conditionalFormatting>
  <conditionalFormatting sqref="F15:G15 F20:G20 G16:G19 F30:G30 G26:G29 F25:G25 G21:G24 F35 G31:G39">
    <cfRule type="cellIs" dxfId="107" priority="8" operator="equal">
      <formula>1</formula>
    </cfRule>
  </conditionalFormatting>
  <conditionalFormatting sqref="I15:J15 I20 I30 I25 I35 J16:J39">
    <cfRule type="cellIs" dxfId="106" priority="6" operator="equal">
      <formula>1</formula>
    </cfRule>
  </conditionalFormatting>
  <conditionalFormatting sqref="L15 L20 L30 L25 L35">
    <cfRule type="cellIs" dxfId="105" priority="5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9"/>
  <sheetViews>
    <sheetView showGridLines="0" zoomScale="85" zoomScaleNormal="85" workbookViewId="0">
      <selection activeCell="S1" sqref="S1:W1048576"/>
    </sheetView>
  </sheetViews>
  <sheetFormatPr defaultColWidth="9" defaultRowHeight="13.5"/>
  <cols>
    <col min="1" max="5" width="9" style="169"/>
    <col min="6" max="7" width="5.375" style="169" customWidth="1"/>
    <col min="8" max="8" width="9" style="169"/>
    <col min="9" max="10" width="5.375" style="169" customWidth="1"/>
    <col min="11" max="11" width="9" style="169"/>
    <col min="12" max="13" width="5.375" style="169" customWidth="1"/>
    <col min="14" max="14" width="9" style="170"/>
    <col min="15" max="15" width="9.375" style="171" bestFit="1" customWidth="1"/>
    <col min="16" max="18" width="9" style="169"/>
    <col min="19" max="20" width="9" style="172" hidden="1" customWidth="1"/>
    <col min="21" max="23" width="9" style="169" hidden="1" customWidth="1"/>
    <col min="24" max="16384" width="9" style="169"/>
  </cols>
  <sheetData>
    <row r="2" spans="2:24">
      <c r="B2" s="550" t="s">
        <v>154</v>
      </c>
      <c r="C2" s="166" t="s">
        <v>156</v>
      </c>
      <c r="D2" s="167" t="e">
        <f>VLOOKUP(E2,$T$15:$V$39,3,0)</f>
        <v>#N/A</v>
      </c>
      <c r="E2" s="168" t="e">
        <f t="array" ref="E2">MAX(IF($S$15:$S$39="남",$T$15:$T$39))</f>
        <v>#N/A</v>
      </c>
    </row>
    <row r="3" spans="2:24">
      <c r="B3" s="551"/>
      <c r="C3" s="166" t="s">
        <v>157</v>
      </c>
      <c r="D3" s="167" t="str">
        <f>VLOOKUP(E3,$T$15:$V$39,3,0)</f>
        <v>성소라</v>
      </c>
      <c r="E3" s="173">
        <f t="array" ref="E3">MAX(IF($S$15:$S$39="여",$T$15:$T$39))</f>
        <v>159</v>
      </c>
    </row>
    <row r="4" spans="2:24">
      <c r="B4" s="550" t="s">
        <v>158</v>
      </c>
      <c r="C4" s="166" t="s">
        <v>156</v>
      </c>
      <c r="D4" s="167" t="e">
        <f>VLOOKUP(E4,$U$15:$V$34,2,0)</f>
        <v>#N/A</v>
      </c>
      <c r="E4" s="168" t="e">
        <f t="array" ref="E4">MAX(IF($S$15:$S$39="남",$U$15:$U$39))</f>
        <v>#N/A</v>
      </c>
    </row>
    <row r="5" spans="2:24">
      <c r="B5" s="551"/>
      <c r="C5" s="166" t="s">
        <v>157</v>
      </c>
      <c r="D5" s="167" t="str">
        <f>VLOOKUP(E5,$U$15:$V$39,2,0)</f>
        <v>성소라</v>
      </c>
      <c r="E5" s="173">
        <f t="array" ref="E5">MAX(IF($S$15:$S$39="여",$U$15:$U$39))</f>
        <v>0</v>
      </c>
    </row>
    <row r="6" spans="2:24" ht="16.5">
      <c r="B6" s="550" t="s">
        <v>224</v>
      </c>
      <c r="C6" s="235" t="s">
        <v>154</v>
      </c>
      <c r="D6" s="554" t="s">
        <v>279</v>
      </c>
      <c r="E6" s="472"/>
    </row>
    <row r="7" spans="2:24" ht="16.5">
      <c r="B7" s="552"/>
      <c r="C7" s="235" t="s">
        <v>226</v>
      </c>
      <c r="D7" s="554" t="s">
        <v>278</v>
      </c>
      <c r="E7" s="472"/>
    </row>
    <row r="8" spans="2:24" ht="16.5">
      <c r="B8" s="552"/>
      <c r="C8" s="235" t="s">
        <v>88</v>
      </c>
      <c r="D8" s="554" t="s">
        <v>37</v>
      </c>
      <c r="E8" s="498"/>
    </row>
    <row r="9" spans="2:24" ht="16.5">
      <c r="B9" s="557"/>
      <c r="C9" s="235" t="s">
        <v>227</v>
      </c>
      <c r="D9" s="554" t="s">
        <v>239</v>
      </c>
      <c r="E9" s="472"/>
    </row>
    <row r="10" spans="2:24" ht="16.5">
      <c r="B10" s="553"/>
      <c r="C10" s="166" t="s">
        <v>229</v>
      </c>
      <c r="D10" s="554" t="s">
        <v>239</v>
      </c>
      <c r="E10" s="472"/>
    </row>
    <row r="12" spans="2:24" ht="16.5" customHeight="1">
      <c r="C12" s="543" t="s">
        <v>140</v>
      </c>
      <c r="D12" s="543" t="s">
        <v>3</v>
      </c>
      <c r="E12" s="544" t="s">
        <v>141</v>
      </c>
      <c r="F12" s="545"/>
      <c r="G12" s="545"/>
      <c r="H12" s="545"/>
      <c r="I12" s="545"/>
      <c r="J12" s="545"/>
      <c r="K12" s="545"/>
      <c r="L12" s="174"/>
      <c r="M12" s="174"/>
      <c r="N12" s="569" t="s">
        <v>142</v>
      </c>
      <c r="O12" s="572" t="s">
        <v>184</v>
      </c>
      <c r="P12" s="575" t="s">
        <v>169</v>
      </c>
      <c r="Q12" s="576"/>
      <c r="R12" s="540" t="s">
        <v>143</v>
      </c>
    </row>
    <row r="13" spans="2:24">
      <c r="C13" s="543"/>
      <c r="D13" s="543"/>
      <c r="E13" s="544">
        <v>1</v>
      </c>
      <c r="F13" s="545"/>
      <c r="G13" s="560"/>
      <c r="H13" s="544">
        <v>2</v>
      </c>
      <c r="I13" s="545"/>
      <c r="J13" s="560"/>
      <c r="K13" s="544">
        <v>3</v>
      </c>
      <c r="L13" s="545"/>
      <c r="M13" s="560"/>
      <c r="N13" s="570"/>
      <c r="O13" s="573"/>
      <c r="P13" s="577"/>
      <c r="Q13" s="578"/>
      <c r="R13" s="558"/>
      <c r="X13" s="172"/>
    </row>
    <row r="14" spans="2:24" ht="27">
      <c r="C14" s="543"/>
      <c r="D14" s="543"/>
      <c r="E14" s="175" t="s">
        <v>150</v>
      </c>
      <c r="F14" s="176" t="s">
        <v>152</v>
      </c>
      <c r="G14" s="177" t="s">
        <v>153</v>
      </c>
      <c r="H14" s="175" t="s">
        <v>150</v>
      </c>
      <c r="I14" s="176" t="s">
        <v>152</v>
      </c>
      <c r="J14" s="177" t="s">
        <v>153</v>
      </c>
      <c r="K14" s="175" t="s">
        <v>150</v>
      </c>
      <c r="L14" s="176" t="s">
        <v>152</v>
      </c>
      <c r="M14" s="177" t="s">
        <v>153</v>
      </c>
      <c r="N14" s="571"/>
      <c r="O14" s="574"/>
      <c r="P14" s="178" t="s">
        <v>144</v>
      </c>
      <c r="Q14" s="257" t="s">
        <v>168</v>
      </c>
      <c r="R14" s="559"/>
      <c r="T14" s="172" t="s">
        <v>170</v>
      </c>
      <c r="U14" s="169" t="s">
        <v>171</v>
      </c>
    </row>
    <row r="15" spans="2:24">
      <c r="C15" s="561" t="s">
        <v>145</v>
      </c>
      <c r="D15" s="180" t="s">
        <v>275</v>
      </c>
      <c r="E15" s="181">
        <f>IFERROR(VLOOKUP(D15,'미니게임_DATA(순)'!$A$5:$EV$38,83,0),0)</f>
        <v>195</v>
      </c>
      <c r="F15" s="563">
        <f>RANK(E19,($E$19,$E$24,$E$29,$E$34,E$39))</f>
        <v>4</v>
      </c>
      <c r="G15" s="566">
        <f>F15</f>
        <v>4</v>
      </c>
      <c r="H15" s="181">
        <f>IFERROR(VLOOKUP(D15,'미니게임_DATA(순)'!$A$5:$EV$38,84,0),0)</f>
        <v>197</v>
      </c>
      <c r="I15" s="563">
        <f>RANK(H19,($H$19,$H$24,$H$29,$H$34,H$39))</f>
        <v>3</v>
      </c>
      <c r="J15" s="566">
        <f>RANK(W19,($W$19,$W$24,$W$29,$W$34,$W$39))</f>
        <v>4</v>
      </c>
      <c r="K15" s="181">
        <f>IFERROR(VLOOKUP(D15,'미니게임_DATA(순)'!$A$5:$EV$38,85,0),0)</f>
        <v>137</v>
      </c>
      <c r="L15" s="563">
        <f>RANK(K19,($K$19,$K$24,$K$29,$K$34,$K$39))</f>
        <v>3</v>
      </c>
      <c r="M15" s="566">
        <f>P15</f>
        <v>3</v>
      </c>
      <c r="N15" s="181">
        <f>E15+H15+K15</f>
        <v>529</v>
      </c>
      <c r="O15" s="183">
        <f>N15/3</f>
        <v>176.33333333333334</v>
      </c>
      <c r="P15" s="579">
        <f>RANK(N19,($N$19,$N$24,$N$29,$N$34,$N$39))</f>
        <v>3</v>
      </c>
      <c r="Q15" s="586">
        <f>MAX($N$19,$N$24,N$29,N$34,N$39)-N19</f>
        <v>508</v>
      </c>
      <c r="R15" s="184">
        <f>IFERROR(O15-VLOOKUP(D15,'미니게임_DATA(순)'!$A:$FB,MATCH("rct 10g avg",'미니게임_DATA(순)'!$A$3:$FB$3,0),0),0)</f>
        <v>17.133333333333354</v>
      </c>
      <c r="S15" s="172" t="str">
        <f>VLOOKUP(D15,미니게임_DATA!$A:$BW,MATCH("성별",미니게임_DATA!$A$3:$BW$3,0),0)</f>
        <v>남</v>
      </c>
      <c r="T15" s="185">
        <f>MAX(  VLOOKUP(V15,'미니게임_DATA(순)'!$A$5:$EV$38,83,0),VLOOKUP(D15,'미니게임_DATA(순)'!$A$5:$EV$38,84,0), VLOOKUP(D15,'미니게임_DATA(순)'!$A$5:$EV$38,85,0))</f>
        <v>197</v>
      </c>
      <c r="U15" s="186">
        <f>VLOOKUP(V15,'미니게임_DATA(순)'!$A$5:$EW$38,90,0)</f>
        <v>172</v>
      </c>
      <c r="V15" s="187" t="str">
        <f>D15</f>
        <v>정동현</v>
      </c>
    </row>
    <row r="16" spans="2:24">
      <c r="C16" s="562"/>
      <c r="D16" s="188" t="s">
        <v>22</v>
      </c>
      <c r="E16" s="181">
        <f>IFERROR(VLOOKUP(D16,'미니게임_DATA(순)'!$A$5:$EV$38,83,0),0)</f>
        <v>129</v>
      </c>
      <c r="F16" s="564"/>
      <c r="G16" s="567"/>
      <c r="H16" s="181">
        <f>IFERROR(VLOOKUP(D16,'미니게임_DATA(순)'!$A$5:$EV$38,84,0),0)</f>
        <v>152</v>
      </c>
      <c r="I16" s="564"/>
      <c r="J16" s="567"/>
      <c r="K16" s="181">
        <f>IFERROR(VLOOKUP(D16,'미니게임_DATA(순)'!$A$5:$EV$38,85,0),0)</f>
        <v>170</v>
      </c>
      <c r="L16" s="564"/>
      <c r="M16" s="567"/>
      <c r="N16" s="182">
        <f t="shared" ref="N16:N19" si="0">E16+H16+K16</f>
        <v>451</v>
      </c>
      <c r="O16" s="189">
        <f t="shared" ref="O16:O18" si="1">N16/3</f>
        <v>150.33333333333334</v>
      </c>
      <c r="P16" s="580"/>
      <c r="Q16" s="587"/>
      <c r="R16" s="184">
        <f>IFERROR(O16-VLOOKUP(D16,'미니게임_DATA(순)'!$A:$FB,MATCH("rct 10g avg",'미니게임_DATA(순)'!$A$3:$FB$3,0),0),0)</f>
        <v>6.9333333333333371</v>
      </c>
      <c r="S16" s="172" t="str">
        <f>VLOOKUP(D16,미니게임_DATA!$A:$BW,MATCH("성별",미니게임_DATA!$A$3:$BW$3,0),0)</f>
        <v>남</v>
      </c>
      <c r="T16" s="185">
        <f>MAX(  VLOOKUP(V16,'미니게임_DATA(순)'!$A$5:$EV$38,83,0),VLOOKUP(D16,'미니게임_DATA(순)'!$A$5:$EV$38,84,0), VLOOKUP(D16,'미니게임_DATA(순)'!$A$5:$EV$38,85,0))</f>
        <v>170</v>
      </c>
      <c r="U16" s="186">
        <f>VLOOKUP(V16,'미니게임_DATA(순)'!$A$5:$EW$38,90,0)</f>
        <v>128</v>
      </c>
      <c r="V16" s="187" t="str">
        <f t="shared" ref="V16:V34" si="2">D16</f>
        <v>이강은</v>
      </c>
    </row>
    <row r="17" spans="3:23">
      <c r="C17" s="562"/>
      <c r="D17" s="188" t="s">
        <v>41</v>
      </c>
      <c r="E17" s="181">
        <f>IFERROR(VLOOKUP(D17,'미니게임_DATA(순)'!$A$5:$EV$38,83,0),0)+10</f>
        <v>10</v>
      </c>
      <c r="F17" s="564"/>
      <c r="G17" s="567"/>
      <c r="H17" s="181">
        <f>IFERROR(VLOOKUP(D17,'미니게임_DATA(순)'!$A$5:$EV$38,84,0),0)+10</f>
        <v>10</v>
      </c>
      <c r="I17" s="564"/>
      <c r="J17" s="567"/>
      <c r="K17" s="181">
        <f>IFERROR(VLOOKUP(D17,'미니게임_DATA(순)'!$A$5:$EV$38,85,0),0)+10</f>
        <v>10</v>
      </c>
      <c r="L17" s="564"/>
      <c r="M17" s="567"/>
      <c r="N17" s="182">
        <f t="shared" si="0"/>
        <v>30</v>
      </c>
      <c r="O17" s="189">
        <f t="shared" si="1"/>
        <v>10</v>
      </c>
      <c r="P17" s="580"/>
      <c r="Q17" s="587"/>
      <c r="R17" s="184">
        <f>IFERROR(O17-VLOOKUP(D17,'미니게임_DATA(순)'!$A:$FB,MATCH("rct 10g avg",'미니게임_DATA(순)'!$A$3:$FB$3,0),0),0)</f>
        <v>-142.30000000000001</v>
      </c>
      <c r="S17" s="172" t="str">
        <f>VLOOKUP(D17,미니게임_DATA!$A:$BW,MATCH("성별",미니게임_DATA!$A$3:$BW$3,0),0)</f>
        <v>남</v>
      </c>
      <c r="T17" s="185" t="e">
        <f>MAX(  VLOOKUP(V17,'미니게임_DATA(순)'!$A$5:$EV$38,83,0),VLOOKUP(D17,'미니게임_DATA(순)'!$A$5:$EV$38,84,0), VLOOKUP(D17,'미니게임_DATA(순)'!$A$5:$EV$38,85,0))</f>
        <v>#N/A</v>
      </c>
      <c r="U17" s="186" t="e">
        <f>VLOOKUP(V17,'미니게임_DATA(순)'!$A$5:$EW$38,90,0)</f>
        <v>#N/A</v>
      </c>
      <c r="V17" s="187" t="str">
        <f t="shared" si="2"/>
        <v>조헌우</v>
      </c>
    </row>
    <row r="18" spans="3:23">
      <c r="C18" s="562"/>
      <c r="D18" s="191"/>
      <c r="E18" s="182"/>
      <c r="F18" s="564"/>
      <c r="G18" s="567"/>
      <c r="H18" s="182"/>
      <c r="I18" s="564"/>
      <c r="J18" s="567"/>
      <c r="K18" s="182"/>
      <c r="L18" s="564"/>
      <c r="M18" s="567"/>
      <c r="N18" s="182">
        <f t="shared" si="0"/>
        <v>0</v>
      </c>
      <c r="O18" s="189">
        <f t="shared" si="1"/>
        <v>0</v>
      </c>
      <c r="P18" s="580"/>
      <c r="Q18" s="587"/>
      <c r="R18" s="184">
        <f>IFERROR(O18-VLOOKUP(D18,'미니게임_DATA(순)'!$A:$FB,MATCH("rct 10g avg",'미니게임_DATA(순)'!$A$3:$FB$3,0),0),0)</f>
        <v>0</v>
      </c>
      <c r="T18" s="185"/>
      <c r="U18" s="186"/>
      <c r="V18" s="187"/>
    </row>
    <row r="19" spans="3:23">
      <c r="C19" s="192"/>
      <c r="D19" s="193"/>
      <c r="E19" s="194">
        <f>SUMIF(E15:E18, "&gt;0")</f>
        <v>334</v>
      </c>
      <c r="F19" s="565"/>
      <c r="G19" s="568"/>
      <c r="H19" s="194">
        <f>SUMIF(H15:H18, "&gt;0")</f>
        <v>359</v>
      </c>
      <c r="I19" s="565"/>
      <c r="J19" s="568"/>
      <c r="K19" s="194">
        <f>SUMIF(K15:K18, "&gt;0")</f>
        <v>317</v>
      </c>
      <c r="L19" s="565"/>
      <c r="M19" s="568"/>
      <c r="N19" s="194">
        <f t="shared" si="0"/>
        <v>1010</v>
      </c>
      <c r="O19" s="195"/>
      <c r="P19" s="581"/>
      <c r="Q19" s="588"/>
      <c r="R19" s="184">
        <f>IFERROR(O19-VLOOKUP(D19,'미니게임_DATA(순)'!$A:$FB,MATCH("rct 10g avg",'미니게임_DATA(순)'!$A$3:$FB$3,0),0),0)</f>
        <v>0</v>
      </c>
      <c r="S19" s="185">
        <f>N19</f>
        <v>1010</v>
      </c>
      <c r="T19" s="185"/>
      <c r="U19" s="186"/>
      <c r="V19" s="187">
        <f t="shared" si="2"/>
        <v>0</v>
      </c>
      <c r="W19" s="187">
        <f>SUM(E19,H19)</f>
        <v>693</v>
      </c>
    </row>
    <row r="20" spans="3:23">
      <c r="C20" s="561" t="s">
        <v>146</v>
      </c>
      <c r="D20" s="180" t="s">
        <v>8</v>
      </c>
      <c r="E20" s="181">
        <f>IFERROR(VLOOKUP(D20,'미니게임_DATA(순)'!$A$5:$EV$38,83,0),0)</f>
        <v>194</v>
      </c>
      <c r="F20" s="563">
        <f>RANK(E24,($E$19,$E$24,$E$29,$E$34,E$39))</f>
        <v>3</v>
      </c>
      <c r="G20" s="566">
        <f t="shared" ref="G20" si="3">F20</f>
        <v>3</v>
      </c>
      <c r="H20" s="181">
        <f>IFERROR(VLOOKUP(D20,'미니게임_DATA(순)'!$A$5:$EV$38,84,0),0)</f>
        <v>210</v>
      </c>
      <c r="I20" s="563">
        <f>RANK(H24,($H$19,$H$24,$H$29,$H$34,H$39))</f>
        <v>4</v>
      </c>
      <c r="J20" s="566">
        <f>RANK(W24,($W$19,$W$24,$W$29,$W$34,$W$39))</f>
        <v>3</v>
      </c>
      <c r="K20" s="181">
        <f>IFERROR(VLOOKUP(D20,'미니게임_DATA(순)'!$A$5:$EV$38,85,0),0)</f>
        <v>161</v>
      </c>
      <c r="L20" s="563">
        <f>RANK(K24,($K$19,$K$24,$K$29,$K$34,$K$39))</f>
        <v>4</v>
      </c>
      <c r="M20" s="566">
        <f t="shared" ref="M20" si="4">P20</f>
        <v>3</v>
      </c>
      <c r="N20" s="181">
        <f>E20+H20+K20</f>
        <v>565</v>
      </c>
      <c r="O20" s="183">
        <f>N20/3</f>
        <v>188.33333333333334</v>
      </c>
      <c r="P20" s="579">
        <f>RANK(N24,($N$19,$N$24,$N$29,$N$34,$N$39))</f>
        <v>3</v>
      </c>
      <c r="Q20" s="582">
        <f>MAX($N$19,$N$24,N$29,N$34,N$39)-N24</f>
        <v>508</v>
      </c>
      <c r="R20" s="184">
        <f>IFERROR(O20-VLOOKUP(D20,'미니게임_DATA(순)'!$A:$FB,MATCH("rct 10g avg",'미니게임_DATA(순)'!$A$3:$FB$3,0),0),0)</f>
        <v>3.0333333333333314</v>
      </c>
      <c r="S20" s="172" t="str">
        <f>VLOOKUP(D20,미니게임_DATA!$A:$BW,MATCH("성별",미니게임_DATA!$A$3:$BW$3,0),0)</f>
        <v>남</v>
      </c>
      <c r="T20" s="185">
        <f>MAX(  VLOOKUP(V20,'미니게임_DATA(순)'!$A$5:$EV$38,83,0),VLOOKUP(D20,'미니게임_DATA(순)'!$A$5:$EV$38,84,0), VLOOKUP(D20,'미니게임_DATA(순)'!$A$5:$EV$38,85,0))</f>
        <v>210</v>
      </c>
      <c r="U20" s="186">
        <f>VLOOKUP(V20,'미니게임_DATA(순)'!$A$5:$EW$38,90,0)</f>
        <v>165</v>
      </c>
      <c r="V20" s="187" t="str">
        <f t="shared" si="2"/>
        <v>조문수</v>
      </c>
    </row>
    <row r="21" spans="3:23">
      <c r="C21" s="585"/>
      <c r="D21" s="197" t="s">
        <v>276</v>
      </c>
      <c r="E21" s="181">
        <f>IFERROR(VLOOKUP(D21,'미니게임_DATA(순)'!$A$5:$EV$38,83,0),0)</f>
        <v>0</v>
      </c>
      <c r="F21" s="564"/>
      <c r="G21" s="567"/>
      <c r="H21" s="181">
        <f>IFERROR(VLOOKUP(D21,'미니게임_DATA(순)'!$A$5:$EV$38,84,0),0)</f>
        <v>0</v>
      </c>
      <c r="I21" s="564"/>
      <c r="J21" s="567"/>
      <c r="K21" s="181">
        <f>IFERROR(VLOOKUP(D21,'미니게임_DATA(순)'!$A$5:$EV$38,85,0),0)</f>
        <v>0</v>
      </c>
      <c r="L21" s="564"/>
      <c r="M21" s="567"/>
      <c r="N21" s="182">
        <f t="shared" ref="N21:N23" si="5">E21+H21+K21</f>
        <v>0</v>
      </c>
      <c r="O21" s="189">
        <f t="shared" ref="O21:O23" si="6">N21/3</f>
        <v>0</v>
      </c>
      <c r="P21" s="580"/>
      <c r="Q21" s="583"/>
      <c r="R21" s="184">
        <f>IFERROR(O21-VLOOKUP(D21,'미니게임_DATA(순)'!$A:$FB,MATCH("rct 10g avg",'미니게임_DATA(순)'!$A$3:$FB$3,0),0),0)</f>
        <v>-166.4</v>
      </c>
      <c r="S21" s="172" t="str">
        <f>VLOOKUP(D21,미니게임_DATA!$A:$BW,MATCH("성별",미니게임_DATA!$A$3:$BW$3,0),0)</f>
        <v>남</v>
      </c>
      <c r="T21" s="185" t="e">
        <f>MAX(  VLOOKUP(V21,'미니게임_DATA(순)'!$A$5:$EV$38,83,0),VLOOKUP(D21,'미니게임_DATA(순)'!$A$5:$EV$38,84,0), VLOOKUP(D21,'미니게임_DATA(순)'!$A$5:$EV$38,85,0))</f>
        <v>#N/A</v>
      </c>
      <c r="U21" s="186" t="e">
        <f>VLOOKUP(V21,'미니게임_DATA(순)'!$A$5:$EW$38,90,0)</f>
        <v>#N/A</v>
      </c>
      <c r="V21" s="187" t="str">
        <f t="shared" si="2"/>
        <v>최은규</v>
      </c>
    </row>
    <row r="22" spans="3:23">
      <c r="C22" s="562"/>
      <c r="D22" s="188" t="s">
        <v>12</v>
      </c>
      <c r="E22" s="181">
        <f>IFERROR(VLOOKUP(D22,'미니게임_DATA(순)'!$A$5:$EV$38,83,0),0)+10</f>
        <v>169</v>
      </c>
      <c r="F22" s="564"/>
      <c r="G22" s="567"/>
      <c r="H22" s="181">
        <f>IFERROR(VLOOKUP(D22,'미니게임_DATA(순)'!$A$5:$EV$38,84,0),0)+10</f>
        <v>134</v>
      </c>
      <c r="I22" s="564"/>
      <c r="J22" s="567"/>
      <c r="K22" s="181">
        <f>IFERROR(VLOOKUP(D22,'미니게임_DATA(순)'!$A$5:$EV$38,85,0),0)+10</f>
        <v>142</v>
      </c>
      <c r="L22" s="564"/>
      <c r="M22" s="567"/>
      <c r="N22" s="182">
        <f t="shared" si="5"/>
        <v>445</v>
      </c>
      <c r="O22" s="189">
        <f t="shared" si="6"/>
        <v>148.33333333333334</v>
      </c>
      <c r="P22" s="580"/>
      <c r="Q22" s="583"/>
      <c r="R22" s="184">
        <f>IFERROR(O22-VLOOKUP(D22,'미니게임_DATA(순)'!$A:$FB,MATCH("rct 10g avg",'미니게임_DATA(순)'!$A$3:$FB$3,0),0),0)</f>
        <v>10.933333333333337</v>
      </c>
      <c r="S22" s="172" t="str">
        <f>VLOOKUP(D22,미니게임_DATA!$A:$BW,MATCH("성별",미니게임_DATA!$A$3:$BW$3,0),0)</f>
        <v>여</v>
      </c>
      <c r="T22" s="185">
        <f>MAX(  VLOOKUP(V22,'미니게임_DATA(순)'!$A$5:$EV$38,83,0),VLOOKUP(D22,'미니게임_DATA(순)'!$A$5:$EV$38,84,0), VLOOKUP(D22,'미니게임_DATA(순)'!$A$5:$EV$38,85,0))</f>
        <v>159</v>
      </c>
      <c r="U22" s="186">
        <f>VLOOKUP(V22,'미니게임_DATA(순)'!$A$5:$EW$38,90,0)</f>
        <v>0</v>
      </c>
      <c r="V22" s="187" t="str">
        <f t="shared" si="2"/>
        <v>성소라</v>
      </c>
    </row>
    <row r="23" spans="3:23">
      <c r="C23" s="562"/>
      <c r="D23" s="188"/>
      <c r="E23" s="182"/>
      <c r="F23" s="564"/>
      <c r="G23" s="567"/>
      <c r="H23" s="182"/>
      <c r="I23" s="564"/>
      <c r="J23" s="567"/>
      <c r="K23" s="182"/>
      <c r="L23" s="564"/>
      <c r="M23" s="567"/>
      <c r="N23" s="182">
        <f t="shared" si="5"/>
        <v>0</v>
      </c>
      <c r="O23" s="189">
        <f t="shared" si="6"/>
        <v>0</v>
      </c>
      <c r="P23" s="580"/>
      <c r="Q23" s="583"/>
      <c r="R23" s="184">
        <f>IFERROR(O23-VLOOKUP(D23,'미니게임_DATA(순)'!$A:$FB,MATCH("rct 10g avg",'미니게임_DATA(순)'!$A$3:$FB$3,0),0),0)</f>
        <v>0</v>
      </c>
      <c r="T23" s="185"/>
      <c r="U23" s="186"/>
      <c r="V23" s="187"/>
    </row>
    <row r="24" spans="3:23">
      <c r="C24" s="192"/>
      <c r="D24" s="193"/>
      <c r="E24" s="194">
        <f t="shared" ref="E24" si="7">SUMIF(E20:E23, "&gt;0")</f>
        <v>363</v>
      </c>
      <c r="F24" s="565"/>
      <c r="G24" s="568"/>
      <c r="H24" s="194">
        <f t="shared" ref="H24" si="8">SUMIF(H20:H23, "&gt;0")</f>
        <v>344</v>
      </c>
      <c r="I24" s="565"/>
      <c r="J24" s="568"/>
      <c r="K24" s="194">
        <f>SUMIF(K20:K23, "&gt;0")</f>
        <v>303</v>
      </c>
      <c r="L24" s="565"/>
      <c r="M24" s="568"/>
      <c r="N24" s="194">
        <f>E24+H24+K24</f>
        <v>1010</v>
      </c>
      <c r="O24" s="195"/>
      <c r="P24" s="581"/>
      <c r="Q24" s="584"/>
      <c r="R24" s="184">
        <f>IFERROR(O24-VLOOKUP(D24,'미니게임_DATA(순)'!$A:$FB,MATCH("rct 10g avg",'미니게임_DATA(순)'!$A$3:$FB$3,0),0),0)</f>
        <v>0</v>
      </c>
      <c r="S24" s="185">
        <f>N24</f>
        <v>1010</v>
      </c>
      <c r="T24" s="185"/>
      <c r="U24" s="186"/>
      <c r="V24" s="187">
        <f t="shared" si="2"/>
        <v>0</v>
      </c>
      <c r="W24" s="187">
        <f>SUM(E24,H24)</f>
        <v>707</v>
      </c>
    </row>
    <row r="25" spans="3:23">
      <c r="C25" s="561" t="s">
        <v>147</v>
      </c>
      <c r="D25" s="180" t="s">
        <v>241</v>
      </c>
      <c r="E25" s="181">
        <f>IFERROR(VLOOKUP(D25,'미니게임_DATA(순)'!$A$5:$EV$38,83,0),0)</f>
        <v>128</v>
      </c>
      <c r="F25" s="563">
        <f>RANK(E29,($E$19,$E$24,$E$29,$E$34,E$39))</f>
        <v>2</v>
      </c>
      <c r="G25" s="566">
        <f t="shared" ref="G25" si="9">F25</f>
        <v>2</v>
      </c>
      <c r="H25" s="181">
        <f>IFERROR(VLOOKUP(D25,'미니게임_DATA(순)'!$A$5:$EV$38,84,0),0)</f>
        <v>171</v>
      </c>
      <c r="I25" s="563">
        <f>RANK(H29,($H$19,$H$24,$H$29,$H$34,H$39))</f>
        <v>2</v>
      </c>
      <c r="J25" s="566">
        <f>RANK(W29,($W$19,$W$24,$W$29,$W$34,$W$39))</f>
        <v>2</v>
      </c>
      <c r="K25" s="181">
        <f>IFERROR(VLOOKUP(D25,'미니게임_DATA(순)'!$A$5:$EV$38,85,0),0)</f>
        <v>164</v>
      </c>
      <c r="L25" s="563">
        <f>RANK(K29,($K$19,$K$24,$K$29,$K$34,$K$39))</f>
        <v>1</v>
      </c>
      <c r="M25" s="566">
        <f t="shared" ref="M25" si="10">P25</f>
        <v>2</v>
      </c>
      <c r="N25" s="181">
        <f>E25+H25+K25</f>
        <v>463</v>
      </c>
      <c r="O25" s="183">
        <f>N25/3</f>
        <v>154.33333333333334</v>
      </c>
      <c r="P25" s="579">
        <f>RANK(N29,($N$19,$N$24,$N$29,$N$34,$N$39))</f>
        <v>2</v>
      </c>
      <c r="Q25" s="582">
        <f>MAX($N$19,$N$24,N$29,N$34,N$39)-N29</f>
        <v>134</v>
      </c>
      <c r="R25" s="184">
        <f>IFERROR(O25-VLOOKUP(D25,'미니게임_DATA(순)'!$A:$FB,MATCH("rct 10g avg",'미니게임_DATA(순)'!$A$3:$FB$3,0),0),0)</f>
        <v>1.4333333333333371</v>
      </c>
      <c r="S25" s="172" t="s">
        <v>156</v>
      </c>
      <c r="T25" s="185">
        <f>MAX(  VLOOKUP(V25,'미니게임_DATA(순)'!$A$5:$EV$38,83,0),VLOOKUP(D25,'미니게임_DATA(순)'!$A$5:$EV$38,84,0), VLOOKUP(D25,'미니게임_DATA(순)'!$A$5:$EV$38,85,0))</f>
        <v>171</v>
      </c>
      <c r="U25" s="186">
        <f>VLOOKUP(V25,'미니게임_DATA(순)'!$A$5:$EW$38,90,0)</f>
        <v>0</v>
      </c>
      <c r="V25" s="187" t="str">
        <f t="shared" si="2"/>
        <v>이유재</v>
      </c>
    </row>
    <row r="26" spans="3:23">
      <c r="C26" s="562"/>
      <c r="D26" s="188" t="s">
        <v>277</v>
      </c>
      <c r="E26" s="181">
        <f>IFERROR(VLOOKUP(D26,'미니게임_DATA(순)'!$A$5:$EV$38,83,0),0)</f>
        <v>170</v>
      </c>
      <c r="F26" s="564"/>
      <c r="G26" s="567"/>
      <c r="H26" s="181">
        <f>IFERROR(VLOOKUP(D26,'미니게임_DATA(순)'!$A$5:$EV$38,84,0),0)</f>
        <v>133</v>
      </c>
      <c r="I26" s="564"/>
      <c r="J26" s="567"/>
      <c r="K26" s="181">
        <f>IFERROR(VLOOKUP(D26,'미니게임_DATA(순)'!$A$5:$EV$38,85,0),0)</f>
        <v>148</v>
      </c>
      <c r="L26" s="564"/>
      <c r="M26" s="567"/>
      <c r="N26" s="182">
        <f t="shared" ref="N26:N29" si="11">E26+H26+K26</f>
        <v>451</v>
      </c>
      <c r="O26" s="189">
        <f t="shared" ref="O26:O28" si="12">N26/3</f>
        <v>150.33333333333334</v>
      </c>
      <c r="P26" s="580"/>
      <c r="Q26" s="583"/>
      <c r="R26" s="184">
        <f>IFERROR(O26-VLOOKUP(D26,'미니게임_DATA(순)'!$A:$FB,MATCH("rct 10g avg",'미니게임_DATA(순)'!$A$3:$FB$3,0),0),0)</f>
        <v>-3.0666666666666629</v>
      </c>
      <c r="S26" s="172" t="str">
        <f>VLOOKUP(D26,미니게임_DATA!$A:$BW,MATCH("성별",미니게임_DATA!$A$3:$BW$3,0),0)</f>
        <v>남</v>
      </c>
      <c r="T26" s="185">
        <f>MAX(  VLOOKUP(V26,'미니게임_DATA(순)'!$A$5:$EV$38,83,0),VLOOKUP(D26,'미니게임_DATA(순)'!$A$5:$EV$38,84,0), VLOOKUP(D26,'미니게임_DATA(순)'!$A$5:$EV$38,85,0))</f>
        <v>170</v>
      </c>
      <c r="U26" s="186">
        <f>VLOOKUP(V26,'미니게임_DATA(순)'!$A$5:$EW$38,90,0)</f>
        <v>156</v>
      </c>
      <c r="V26" s="187" t="str">
        <f t="shared" si="2"/>
        <v>김신철</v>
      </c>
    </row>
    <row r="27" spans="3:23">
      <c r="C27" s="562"/>
      <c r="D27" s="188" t="s">
        <v>11</v>
      </c>
      <c r="E27" s="181">
        <f>IFERROR(VLOOKUP(D27,'미니게임_DATA(순)'!$A$5:$EV$38,83,0),0)</f>
        <v>149</v>
      </c>
      <c r="F27" s="564"/>
      <c r="G27" s="567"/>
      <c r="H27" s="181">
        <f>IFERROR(VLOOKUP(D27,'미니게임_DATA(순)'!$A$5:$EV$38,84,0),0)</f>
        <v>149</v>
      </c>
      <c r="I27" s="564"/>
      <c r="J27" s="567"/>
      <c r="K27" s="181">
        <f>IFERROR(VLOOKUP(D27,'미니게임_DATA(순)'!$A$5:$EV$38,85,0),0)</f>
        <v>172</v>
      </c>
      <c r="L27" s="564"/>
      <c r="M27" s="567"/>
      <c r="N27" s="182">
        <f t="shared" si="11"/>
        <v>470</v>
      </c>
      <c r="O27" s="189">
        <f t="shared" si="12"/>
        <v>156.66666666666666</v>
      </c>
      <c r="P27" s="580"/>
      <c r="Q27" s="583"/>
      <c r="R27" s="184">
        <f>IFERROR(O27-VLOOKUP(D27,'미니게임_DATA(순)'!$A:$FB,MATCH("rct 10g avg",'미니게임_DATA(순)'!$A$3:$FB$3,0),0),0)</f>
        <v>-1.4333333333333371</v>
      </c>
      <c r="S27" s="172" t="str">
        <f>VLOOKUP(D27,미니게임_DATA!$A:$BW,MATCH("성별",미니게임_DATA!$A$3:$BW$3,0),0)</f>
        <v>남</v>
      </c>
      <c r="T27" s="185">
        <f>MAX(  VLOOKUP(V27,'미니게임_DATA(순)'!$A$5:$EV$38,83,0),VLOOKUP(D27,'미니게임_DATA(순)'!$A$5:$EV$38,84,0), VLOOKUP(D27,'미니게임_DATA(순)'!$A$5:$EV$38,85,0))</f>
        <v>172</v>
      </c>
      <c r="U27" s="186">
        <f>VLOOKUP(V27,'미니게임_DATA(순)'!$A$5:$EW$38,90,0)</f>
        <v>179</v>
      </c>
      <c r="V27" s="187" t="str">
        <f t="shared" si="2"/>
        <v>박용승</v>
      </c>
    </row>
    <row r="28" spans="3:23">
      <c r="C28" s="562"/>
      <c r="D28" s="188"/>
      <c r="E28" s="182">
        <f>IFERROR(VLOOKUP(D28,미니게임_DATA!$A:$GT,6,0),0)</f>
        <v>0</v>
      </c>
      <c r="F28" s="564"/>
      <c r="G28" s="567"/>
      <c r="H28" s="182">
        <f>IFERROR(VLOOKUP(D28,미니게임_DATA!$A:$GT,7,0),0)</f>
        <v>0</v>
      </c>
      <c r="I28" s="564"/>
      <c r="J28" s="567"/>
      <c r="K28" s="182">
        <f>IFERROR(VLOOKUP(D28,미니게임_DATA!$A:$GT,8,0),0)</f>
        <v>0</v>
      </c>
      <c r="L28" s="564"/>
      <c r="M28" s="567"/>
      <c r="N28" s="182">
        <f t="shared" si="11"/>
        <v>0</v>
      </c>
      <c r="O28" s="189">
        <f t="shared" si="12"/>
        <v>0</v>
      </c>
      <c r="P28" s="580"/>
      <c r="Q28" s="583"/>
      <c r="R28" s="184">
        <f>IFERROR(O28-VLOOKUP(D28,'미니게임_DATA(순)'!$A:$FB,MATCH("rct 10g avg",'미니게임_DATA(순)'!$A$3:$FB$3,0),0),0)</f>
        <v>0</v>
      </c>
      <c r="T28" s="185"/>
      <c r="U28" s="186"/>
      <c r="V28" s="187"/>
    </row>
    <row r="29" spans="3:23">
      <c r="C29" s="192"/>
      <c r="D29" s="193"/>
      <c r="E29" s="194">
        <f>SUMIF(E25:E28, "&gt;0")</f>
        <v>447</v>
      </c>
      <c r="F29" s="565"/>
      <c r="G29" s="568"/>
      <c r="H29" s="194">
        <f>SUMIF(H25:H28, "&gt;0")</f>
        <v>453</v>
      </c>
      <c r="I29" s="565"/>
      <c r="J29" s="568"/>
      <c r="K29" s="194">
        <f>SUMIF(K25:K28, "&gt;0")</f>
        <v>484</v>
      </c>
      <c r="L29" s="565"/>
      <c r="M29" s="568"/>
      <c r="N29" s="194">
        <f t="shared" si="11"/>
        <v>1384</v>
      </c>
      <c r="O29" s="195"/>
      <c r="P29" s="581"/>
      <c r="Q29" s="584"/>
      <c r="R29" s="184">
        <f>IFERROR(O29-VLOOKUP(D29,'미니게임_DATA(순)'!$A:$FB,MATCH("rct 10g avg",'미니게임_DATA(순)'!$A$3:$FB$3,0),0),0)</f>
        <v>0</v>
      </c>
      <c r="S29" s="185">
        <f>N29</f>
        <v>1384</v>
      </c>
      <c r="T29" s="185"/>
      <c r="U29" s="186"/>
      <c r="V29" s="187">
        <f t="shared" si="2"/>
        <v>0</v>
      </c>
      <c r="W29" s="187">
        <f>SUM(E29,H29)</f>
        <v>900</v>
      </c>
    </row>
    <row r="30" spans="3:23">
      <c r="C30" s="561" t="s">
        <v>148</v>
      </c>
      <c r="D30" s="180" t="s">
        <v>23</v>
      </c>
      <c r="E30" s="181">
        <f>IFERROR(VLOOKUP(D30,'미니게임_DATA(순)'!$A$5:$EV$38,83,0),0)</f>
        <v>168</v>
      </c>
      <c r="F30" s="563">
        <f>RANK(E34,($E$19,$E$24,$E$29,$E$34,$E$39))</f>
        <v>1</v>
      </c>
      <c r="G30" s="566">
        <f t="shared" ref="G30" si="13">F30</f>
        <v>1</v>
      </c>
      <c r="H30" s="181">
        <f>IFERROR(VLOOKUP(D30,'미니게임_DATA(순)'!$A$5:$EV$38,84,0),0)</f>
        <v>147</v>
      </c>
      <c r="I30" s="563">
        <f>RANK(H34,($H$19,$H$24,$H$29,$H$34,H$39))</f>
        <v>1</v>
      </c>
      <c r="J30" s="566">
        <f>RANK(W34,($W$19,$W$24,$W$29,$W$34,$W$39))</f>
        <v>1</v>
      </c>
      <c r="K30" s="181">
        <f>IFERROR(VLOOKUP(D30,'미니게임_DATA(순)'!$A$5:$EV$38,85,0),0)</f>
        <v>151</v>
      </c>
      <c r="L30" s="563">
        <f>RANK(K34,($K$19,$K$24,$K$29,$K$34,$K$39))</f>
        <v>2</v>
      </c>
      <c r="M30" s="566">
        <f t="shared" ref="M30" si="14">P30</f>
        <v>1</v>
      </c>
      <c r="N30" s="181">
        <f>E30+H30+K30</f>
        <v>466</v>
      </c>
      <c r="O30" s="183">
        <f>N30/3</f>
        <v>155.33333333333334</v>
      </c>
      <c r="P30" s="579">
        <f>RANK(N34,($N$19,$N$24,$N$29,$N$34,$N$39))</f>
        <v>1</v>
      </c>
      <c r="Q30" s="582">
        <f>MAX($N$19,$N$24,N$29,N$34,N$39)-N34</f>
        <v>0</v>
      </c>
      <c r="R30" s="184">
        <f>IFERROR(O30-VLOOKUP(D30,'미니게임_DATA(순)'!$A:$FB,MATCH("rct 10g avg",'미니게임_DATA(순)'!$A$3:$FB$3,0),0),0)</f>
        <v>-7.3666666666666458</v>
      </c>
      <c r="S30" s="172" t="str">
        <f>VLOOKUP(D30,미니게임_DATA!$A:$BW,MATCH("성별",미니게임_DATA!$A$3:$BW$3,0),0)</f>
        <v>남</v>
      </c>
      <c r="T30" s="185">
        <f>MAX(  VLOOKUP(V30,'미니게임_DATA(순)'!$A$5:$EV$38,83,0),VLOOKUP(D30,'미니게임_DATA(순)'!$A$5:$EV$38,84,0), VLOOKUP(D30,'미니게임_DATA(순)'!$A$5:$EV$38,85,0))</f>
        <v>168</v>
      </c>
      <c r="U30" s="186">
        <f>VLOOKUP(V30,'미니게임_DATA(순)'!$A$5:$EW$38,90,0)</f>
        <v>0</v>
      </c>
      <c r="V30" s="187" t="str">
        <f t="shared" si="2"/>
        <v>천재복</v>
      </c>
    </row>
    <row r="31" spans="3:23">
      <c r="C31" s="585"/>
      <c r="D31" s="197" t="s">
        <v>9</v>
      </c>
      <c r="E31" s="181">
        <f>IFERROR(VLOOKUP(D31,'미니게임_DATA(순)'!$A$5:$EV$38,83,0),0)</f>
        <v>180</v>
      </c>
      <c r="F31" s="564"/>
      <c r="G31" s="567"/>
      <c r="H31" s="181">
        <f>IFERROR(VLOOKUP(D31,'미니게임_DATA(순)'!$A$5:$EV$38,84,0),0)</f>
        <v>198</v>
      </c>
      <c r="I31" s="564"/>
      <c r="J31" s="567"/>
      <c r="K31" s="181">
        <f>IFERROR(VLOOKUP(D31,'미니게임_DATA(순)'!$A$5:$EV$38,85,0),0)</f>
        <v>163</v>
      </c>
      <c r="L31" s="564"/>
      <c r="M31" s="567"/>
      <c r="N31" s="182">
        <f t="shared" ref="N31:N34" si="15">E31+H31+K31</f>
        <v>541</v>
      </c>
      <c r="O31" s="189">
        <f t="shared" ref="O31:O33" si="16">N31/3</f>
        <v>180.33333333333334</v>
      </c>
      <c r="P31" s="580"/>
      <c r="Q31" s="583"/>
      <c r="R31" s="184">
        <f>IFERROR(O31-VLOOKUP(D31,'미니게임_DATA(순)'!$A:$FB,MATCH("rct 10g avg",'미니게임_DATA(순)'!$A$3:$FB$3,0),0),0)</f>
        <v>19.133333333333354</v>
      </c>
      <c r="S31" s="172" t="s">
        <v>156</v>
      </c>
      <c r="T31" s="185">
        <f>MAX(  VLOOKUP(V31,'미니게임_DATA(순)'!$A$5:$EV$38,83,0),VLOOKUP(D31,'미니게임_DATA(순)'!$A$5:$EV$38,84,0), VLOOKUP(D31,'미니게임_DATA(순)'!$A$5:$EV$38,85,0))</f>
        <v>198</v>
      </c>
      <c r="U31" s="186">
        <f>VLOOKUP(V31,'미니게임_DATA(순)'!$A$5:$EW$38,90,0)</f>
        <v>136</v>
      </c>
      <c r="V31" s="187" t="str">
        <f t="shared" si="2"/>
        <v>백동민</v>
      </c>
    </row>
    <row r="32" spans="3:23">
      <c r="C32" s="562"/>
      <c r="D32" s="188" t="s">
        <v>38</v>
      </c>
      <c r="E32" s="181">
        <f>IFERROR(VLOOKUP(D32,'미니게임_DATA(순)'!$A$5:$EV$38,83,0),0)</f>
        <v>170</v>
      </c>
      <c r="F32" s="564"/>
      <c r="G32" s="567"/>
      <c r="H32" s="181">
        <f>IFERROR(VLOOKUP(D32,'미니게임_DATA(순)'!$A$5:$EV$38,84,0),0)</f>
        <v>176</v>
      </c>
      <c r="I32" s="564"/>
      <c r="J32" s="567"/>
      <c r="K32" s="181">
        <f>IFERROR(VLOOKUP(D32,'미니게임_DATA(순)'!$A$5:$EV$38,85,0),0)</f>
        <v>165</v>
      </c>
      <c r="L32" s="564"/>
      <c r="M32" s="567"/>
      <c r="N32" s="182">
        <f t="shared" si="15"/>
        <v>511</v>
      </c>
      <c r="O32" s="189">
        <f t="shared" si="16"/>
        <v>170.33333333333334</v>
      </c>
      <c r="P32" s="580"/>
      <c r="Q32" s="583"/>
      <c r="R32" s="184">
        <f>IFERROR(O32-VLOOKUP(D32,'미니게임_DATA(순)'!$A:$FB,MATCH("rct 10g avg",'미니게임_DATA(순)'!$A$3:$FB$3,0),0),0)</f>
        <v>8.6333333333333542</v>
      </c>
      <c r="S32" s="172" t="s">
        <v>156</v>
      </c>
      <c r="T32" s="185">
        <f>MAX(  VLOOKUP(V32,'미니게임_DATA(순)'!$A$5:$EV$38,83,0),VLOOKUP(D32,'미니게임_DATA(순)'!$A$5:$EV$38,84,0), VLOOKUP(D32,'미니게임_DATA(순)'!$A$5:$EV$38,85,0))</f>
        <v>176</v>
      </c>
      <c r="U32" s="186">
        <f>VLOOKUP(V32,'미니게임_DATA(순)'!$A$5:$EW$38,90,0)</f>
        <v>213</v>
      </c>
      <c r="V32" s="187" t="str">
        <f t="shared" si="2"/>
        <v>이수용</v>
      </c>
    </row>
    <row r="33" spans="2:24">
      <c r="C33" s="562"/>
      <c r="D33" s="188"/>
      <c r="E33" s="182"/>
      <c r="F33" s="564"/>
      <c r="G33" s="567"/>
      <c r="H33" s="182"/>
      <c r="I33" s="564"/>
      <c r="J33" s="567"/>
      <c r="K33" s="181">
        <f>IFERROR(VLOOKUP(D33,'미니게임_DATA(순)'!$A$5:$BU$38,73,0),0)</f>
        <v>0</v>
      </c>
      <c r="L33" s="564"/>
      <c r="M33" s="567"/>
      <c r="N33" s="182">
        <f t="shared" si="15"/>
        <v>0</v>
      </c>
      <c r="O33" s="189">
        <f t="shared" si="16"/>
        <v>0</v>
      </c>
      <c r="P33" s="580"/>
      <c r="Q33" s="583"/>
      <c r="R33" s="184">
        <f>IFERROR(O33-VLOOKUP(D33,'미니게임_DATA(순)'!$A:$FB,MATCH("rct 10g avg",'미니게임_DATA(순)'!$A$3:$FB$3,0),0),0)</f>
        <v>0</v>
      </c>
      <c r="T33" s="185"/>
      <c r="U33" s="186"/>
      <c r="V33" s="187"/>
    </row>
    <row r="34" spans="2:24">
      <c r="C34" s="192"/>
      <c r="D34" s="193"/>
      <c r="E34" s="194">
        <f t="shared" ref="E34" si="17">SUMIF(E30:E33, "&gt;0")</f>
        <v>518</v>
      </c>
      <c r="F34" s="565"/>
      <c r="G34" s="568"/>
      <c r="H34" s="194">
        <f t="shared" ref="H34" si="18">SUMIF(H30:H33, "&gt;0")</f>
        <v>521</v>
      </c>
      <c r="I34" s="565"/>
      <c r="J34" s="568"/>
      <c r="K34" s="194">
        <f>SUMIF(K30:K33, "&gt;0")</f>
        <v>479</v>
      </c>
      <c r="L34" s="565"/>
      <c r="M34" s="568"/>
      <c r="N34" s="194">
        <f t="shared" si="15"/>
        <v>1518</v>
      </c>
      <c r="O34" s="195"/>
      <c r="P34" s="581"/>
      <c r="Q34" s="584"/>
      <c r="R34" s="184">
        <f>IFERROR(O34-VLOOKUP(D34,'미니게임_DATA(순)'!$A:$FB,MATCH("rct 10g avg",'미니게임_DATA(순)'!$A$3:$FB$3,0),0),0)</f>
        <v>0</v>
      </c>
      <c r="S34" s="185">
        <f>N34</f>
        <v>1518</v>
      </c>
      <c r="T34" s="185"/>
      <c r="U34" s="186"/>
      <c r="V34" s="187">
        <f t="shared" si="2"/>
        <v>0</v>
      </c>
      <c r="W34" s="187">
        <f>SUM(E34,H34)</f>
        <v>1039</v>
      </c>
    </row>
    <row r="35" spans="2:24">
      <c r="C35" s="561"/>
      <c r="D35" s="180"/>
      <c r="E35" s="181"/>
      <c r="F35" s="563"/>
      <c r="G35" s="566"/>
      <c r="H35" s="181"/>
      <c r="I35" s="563"/>
      <c r="J35" s="566"/>
      <c r="K35" s="181"/>
      <c r="L35" s="563"/>
      <c r="M35" s="566"/>
      <c r="N35" s="181"/>
      <c r="O35" s="183"/>
      <c r="P35" s="579"/>
      <c r="Q35" s="582"/>
      <c r="R35" s="184"/>
      <c r="T35" s="185"/>
      <c r="U35" s="186"/>
      <c r="V35" s="187"/>
    </row>
    <row r="36" spans="2:24" s="172" customFormat="1">
      <c r="B36" s="169"/>
      <c r="C36" s="585"/>
      <c r="D36" s="197"/>
      <c r="E36" s="181"/>
      <c r="F36" s="564"/>
      <c r="G36" s="567"/>
      <c r="H36" s="181"/>
      <c r="I36" s="564"/>
      <c r="J36" s="567"/>
      <c r="K36" s="181"/>
      <c r="L36" s="564"/>
      <c r="M36" s="567"/>
      <c r="N36" s="182"/>
      <c r="O36" s="189"/>
      <c r="P36" s="580"/>
      <c r="Q36" s="583"/>
      <c r="R36" s="184"/>
      <c r="T36" s="185"/>
      <c r="U36" s="186"/>
      <c r="V36" s="187"/>
      <c r="W36" s="169"/>
      <c r="X36" s="169"/>
    </row>
    <row r="37" spans="2:24" s="172" customFormat="1">
      <c r="B37" s="169"/>
      <c r="C37" s="562"/>
      <c r="D37" s="188"/>
      <c r="E37" s="181"/>
      <c r="F37" s="564"/>
      <c r="G37" s="567"/>
      <c r="H37" s="181"/>
      <c r="I37" s="564"/>
      <c r="J37" s="567"/>
      <c r="K37" s="181"/>
      <c r="L37" s="564"/>
      <c r="M37" s="567"/>
      <c r="N37" s="182"/>
      <c r="O37" s="189"/>
      <c r="P37" s="580"/>
      <c r="Q37" s="583"/>
      <c r="R37" s="184"/>
      <c r="T37" s="185"/>
      <c r="U37" s="186"/>
      <c r="V37" s="187"/>
      <c r="W37" s="169"/>
      <c r="X37" s="169"/>
    </row>
    <row r="38" spans="2:24">
      <c r="C38" s="562"/>
      <c r="D38" s="188"/>
      <c r="E38" s="182"/>
      <c r="F38" s="564"/>
      <c r="G38" s="567"/>
      <c r="H38" s="182"/>
      <c r="I38" s="564"/>
      <c r="J38" s="567"/>
      <c r="K38" s="181"/>
      <c r="L38" s="564"/>
      <c r="M38" s="567"/>
      <c r="N38" s="182"/>
      <c r="O38" s="189"/>
      <c r="P38" s="580"/>
      <c r="Q38" s="583"/>
      <c r="R38" s="184"/>
      <c r="T38" s="185"/>
      <c r="U38" s="186"/>
      <c r="V38" s="187"/>
    </row>
    <row r="39" spans="2:24">
      <c r="C39" s="192"/>
      <c r="D39" s="193"/>
      <c r="E39" s="194"/>
      <c r="F39" s="565"/>
      <c r="G39" s="568"/>
      <c r="H39" s="194"/>
      <c r="I39" s="565"/>
      <c r="J39" s="568"/>
      <c r="K39" s="194"/>
      <c r="L39" s="565"/>
      <c r="M39" s="568"/>
      <c r="N39" s="194"/>
      <c r="O39" s="195"/>
      <c r="P39" s="581"/>
      <c r="Q39" s="584"/>
      <c r="R39" s="184"/>
      <c r="S39" s="185"/>
      <c r="T39" s="185"/>
      <c r="U39" s="186"/>
      <c r="V39" s="187"/>
      <c r="W39" s="187"/>
    </row>
  </sheetData>
  <mergeCells count="63">
    <mergeCell ref="M35:M39"/>
    <mergeCell ref="P35:P39"/>
    <mergeCell ref="Q35:Q39"/>
    <mergeCell ref="D8:E8"/>
    <mergeCell ref="C35:C38"/>
    <mergeCell ref="F35:F39"/>
    <mergeCell ref="G35:G39"/>
    <mergeCell ref="I35:I39"/>
    <mergeCell ref="J35:J39"/>
    <mergeCell ref="L35:L39"/>
    <mergeCell ref="Q25:Q29"/>
    <mergeCell ref="C30:C33"/>
    <mergeCell ref="F30:F34"/>
    <mergeCell ref="G30:G34"/>
    <mergeCell ref="I30:I34"/>
    <mergeCell ref="J30:J34"/>
    <mergeCell ref="L30:L34"/>
    <mergeCell ref="M30:M34"/>
    <mergeCell ref="P30:P34"/>
    <mergeCell ref="Q30:Q34"/>
    <mergeCell ref="P20:P24"/>
    <mergeCell ref="Q20:Q24"/>
    <mergeCell ref="L25:L29"/>
    <mergeCell ref="M25:M29"/>
    <mergeCell ref="P25:P29"/>
    <mergeCell ref="C25:C28"/>
    <mergeCell ref="F25:F29"/>
    <mergeCell ref="G25:G29"/>
    <mergeCell ref="I25:I29"/>
    <mergeCell ref="J25:J29"/>
    <mergeCell ref="M15:M19"/>
    <mergeCell ref="P15:P19"/>
    <mergeCell ref="Q15:Q19"/>
    <mergeCell ref="C20:C23"/>
    <mergeCell ref="F20:F24"/>
    <mergeCell ref="G20:G24"/>
    <mergeCell ref="I20:I24"/>
    <mergeCell ref="J20:J24"/>
    <mergeCell ref="L20:L24"/>
    <mergeCell ref="M20:M24"/>
    <mergeCell ref="R12:R14"/>
    <mergeCell ref="E13:G13"/>
    <mergeCell ref="H13:J13"/>
    <mergeCell ref="K13:M13"/>
    <mergeCell ref="C15:C18"/>
    <mergeCell ref="F15:F19"/>
    <mergeCell ref="G15:G19"/>
    <mergeCell ref="I15:I19"/>
    <mergeCell ref="J15:J19"/>
    <mergeCell ref="L15:L19"/>
    <mergeCell ref="C12:C14"/>
    <mergeCell ref="D12:D14"/>
    <mergeCell ref="E12:K12"/>
    <mergeCell ref="N12:N14"/>
    <mergeCell ref="O12:O14"/>
    <mergeCell ref="P12:Q13"/>
    <mergeCell ref="B2:B3"/>
    <mergeCell ref="B4:B5"/>
    <mergeCell ref="B6:B10"/>
    <mergeCell ref="D6:E6"/>
    <mergeCell ref="D7:E7"/>
    <mergeCell ref="D9:E9"/>
    <mergeCell ref="D10:E10"/>
  </mergeCells>
  <phoneticPr fontId="2" type="noConversion"/>
  <conditionalFormatting sqref="F40:G1048576 F1:G14 I1:J14 L1:M14 L40:M1048576 I40:J1048576">
    <cfRule type="cellIs" dxfId="104" priority="9" operator="equal">
      <formula>1</formula>
    </cfRule>
  </conditionalFormatting>
  <conditionalFormatting sqref="M15:M34">
    <cfRule type="cellIs" dxfId="103" priority="7" operator="equal">
      <formula>1</formula>
    </cfRule>
  </conditionalFormatting>
  <conditionalFormatting sqref="F15:G15 F20:G20 G16:G19 G31:G34 F30:G30 G26:G29 F25:G25 G21:G24">
    <cfRule type="cellIs" dxfId="102" priority="8" operator="equal">
      <formula>1</formula>
    </cfRule>
  </conditionalFormatting>
  <conditionalFormatting sqref="I15:J15 I20 I30 I25 J16:J34">
    <cfRule type="cellIs" dxfId="101" priority="6" operator="equal">
      <formula>1</formula>
    </cfRule>
  </conditionalFormatting>
  <conditionalFormatting sqref="L15 L20 L30 L25">
    <cfRule type="cellIs" dxfId="100" priority="5" operator="equal">
      <formula>1</formula>
    </cfRule>
  </conditionalFormatting>
  <conditionalFormatting sqref="M35:M39">
    <cfRule type="cellIs" dxfId="99" priority="3" operator="equal">
      <formula>1</formula>
    </cfRule>
  </conditionalFormatting>
  <conditionalFormatting sqref="G36:G39 F35:G35">
    <cfRule type="cellIs" dxfId="98" priority="4" operator="equal">
      <formula>1</formula>
    </cfRule>
  </conditionalFormatting>
  <conditionalFormatting sqref="I35 J35:J39">
    <cfRule type="cellIs" dxfId="97" priority="2" operator="equal">
      <formula>1</formula>
    </cfRule>
  </conditionalFormatting>
  <conditionalFormatting sqref="L35">
    <cfRule type="cellIs" dxfId="96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8"/>
  <sheetViews>
    <sheetView showGridLines="0" topLeftCell="A10" zoomScale="85" zoomScaleNormal="85" workbookViewId="0">
      <selection activeCell="F19" sqref="F19:F23"/>
    </sheetView>
  </sheetViews>
  <sheetFormatPr defaultColWidth="9" defaultRowHeight="13.5"/>
  <cols>
    <col min="1" max="5" width="9" style="169"/>
    <col min="6" max="7" width="5.375" style="169" customWidth="1"/>
    <col min="8" max="8" width="9" style="169"/>
    <col min="9" max="10" width="5.375" style="169" customWidth="1"/>
    <col min="11" max="11" width="9" style="169"/>
    <col min="12" max="13" width="5.375" style="169" customWidth="1"/>
    <col min="14" max="14" width="9" style="170"/>
    <col min="15" max="15" width="9.375" style="171" bestFit="1" customWidth="1"/>
    <col min="16" max="18" width="9" style="169"/>
    <col min="19" max="20" width="9" style="172" hidden="1" customWidth="1"/>
    <col min="21" max="23" width="9" style="169" hidden="1" customWidth="1"/>
    <col min="24" max="16384" width="9" style="169"/>
  </cols>
  <sheetData>
    <row r="2" spans="2:24">
      <c r="B2" s="550" t="s">
        <v>154</v>
      </c>
      <c r="C2" s="166" t="s">
        <v>156</v>
      </c>
      <c r="D2" s="167" t="e">
        <f>VLOOKUP(E2,$T$14:$V$38,3,0)</f>
        <v>#N/A</v>
      </c>
      <c r="E2" s="168" t="e">
        <f t="array" ref="E2">MAX(IF($S$14:$S$38="남",$T$14:$T$38))</f>
        <v>#N/A</v>
      </c>
    </row>
    <row r="3" spans="2:24">
      <c r="B3" s="551"/>
      <c r="C3" s="166" t="s">
        <v>157</v>
      </c>
      <c r="D3" s="167" t="str">
        <f>VLOOKUP(E3,$T$14:$V$38,3,0)</f>
        <v>성소라</v>
      </c>
      <c r="E3" s="173">
        <f t="array" ref="E3">MAX(IF($S$14:$S$38="여",$T$14:$T$38))</f>
        <v>156</v>
      </c>
    </row>
    <row r="4" spans="2:24">
      <c r="B4" s="550" t="s">
        <v>158</v>
      </c>
      <c r="C4" s="166" t="s">
        <v>156</v>
      </c>
      <c r="D4" s="167" t="e">
        <f>VLOOKUP(E4,$U$14:$V$33,2,0)</f>
        <v>#N/A</v>
      </c>
      <c r="E4" s="168" t="e">
        <f t="array" ref="E4">MAX(IF($S$14:$S$38="남",$U$14:$U$38))</f>
        <v>#N/A</v>
      </c>
    </row>
    <row r="5" spans="2:24">
      <c r="B5" s="551"/>
      <c r="C5" s="166" t="s">
        <v>157</v>
      </c>
      <c r="D5" s="167" t="str">
        <f>VLOOKUP(E5,$U$14:$V$38,2,0)</f>
        <v>성소라</v>
      </c>
      <c r="E5" s="173">
        <f t="array" ref="E5">MAX(IF($S$14:$S$38="여",$U$14:$U$38))</f>
        <v>140</v>
      </c>
    </row>
    <row r="6" spans="2:24" ht="16.5">
      <c r="B6" s="550" t="s">
        <v>224</v>
      </c>
      <c r="C6" s="235" t="s">
        <v>154</v>
      </c>
      <c r="D6" s="554"/>
      <c r="E6" s="472"/>
    </row>
    <row r="7" spans="2:24" ht="16.5">
      <c r="B7" s="552"/>
      <c r="C7" s="235" t="s">
        <v>226</v>
      </c>
      <c r="D7" s="554" t="s">
        <v>14</v>
      </c>
      <c r="E7" s="472"/>
    </row>
    <row r="8" spans="2:24" ht="16.5">
      <c r="B8" s="557"/>
      <c r="C8" s="235" t="s">
        <v>227</v>
      </c>
      <c r="D8" s="554" t="s">
        <v>239</v>
      </c>
      <c r="E8" s="472"/>
    </row>
    <row r="9" spans="2:24" ht="16.5">
      <c r="B9" s="553"/>
      <c r="C9" s="166" t="s">
        <v>229</v>
      </c>
      <c r="D9" s="554" t="s">
        <v>239</v>
      </c>
      <c r="E9" s="472"/>
    </row>
    <row r="11" spans="2:24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174"/>
      <c r="M11" s="174"/>
      <c r="N11" s="569" t="s">
        <v>142</v>
      </c>
      <c r="O11" s="572" t="s">
        <v>184</v>
      </c>
      <c r="P11" s="575" t="s">
        <v>169</v>
      </c>
      <c r="Q11" s="576"/>
      <c r="R11" s="540" t="s">
        <v>143</v>
      </c>
    </row>
    <row r="12" spans="2:24">
      <c r="C12" s="543"/>
      <c r="D12" s="543"/>
      <c r="E12" s="544">
        <v>1</v>
      </c>
      <c r="F12" s="545"/>
      <c r="G12" s="560"/>
      <c r="H12" s="544">
        <v>2</v>
      </c>
      <c r="I12" s="545"/>
      <c r="J12" s="560"/>
      <c r="K12" s="544">
        <v>3</v>
      </c>
      <c r="L12" s="545"/>
      <c r="M12" s="560"/>
      <c r="N12" s="570"/>
      <c r="O12" s="573"/>
      <c r="P12" s="577"/>
      <c r="Q12" s="578"/>
      <c r="R12" s="558"/>
      <c r="X12" s="172"/>
    </row>
    <row r="13" spans="2:24" ht="27">
      <c r="C13" s="543"/>
      <c r="D13" s="543"/>
      <c r="E13" s="175" t="s">
        <v>150</v>
      </c>
      <c r="F13" s="176" t="s">
        <v>152</v>
      </c>
      <c r="G13" s="177" t="s">
        <v>153</v>
      </c>
      <c r="H13" s="175" t="s">
        <v>150</v>
      </c>
      <c r="I13" s="176" t="s">
        <v>152</v>
      </c>
      <c r="J13" s="177" t="s">
        <v>153</v>
      </c>
      <c r="K13" s="175" t="s">
        <v>150</v>
      </c>
      <c r="L13" s="176" t="s">
        <v>152</v>
      </c>
      <c r="M13" s="177" t="s">
        <v>153</v>
      </c>
      <c r="N13" s="571"/>
      <c r="O13" s="574"/>
      <c r="P13" s="178" t="s">
        <v>144</v>
      </c>
      <c r="Q13" s="255" t="s">
        <v>168</v>
      </c>
      <c r="R13" s="559"/>
      <c r="T13" s="172" t="s">
        <v>170</v>
      </c>
      <c r="U13" s="169" t="s">
        <v>171</v>
      </c>
    </row>
    <row r="14" spans="2:24">
      <c r="C14" s="561" t="s">
        <v>145</v>
      </c>
      <c r="D14" s="180" t="s">
        <v>272</v>
      </c>
      <c r="E14" s="181">
        <f>IFERROR(VLOOKUP(D14,'미니게임_DATA(순)'!$A$5:$EV$38,80,0),0)</f>
        <v>163</v>
      </c>
      <c r="F14" s="563">
        <f>RANK(E18,($E$18,$E$23,$E$28,$E$33,E$38))</f>
        <v>3</v>
      </c>
      <c r="G14" s="566">
        <f>F14</f>
        <v>3</v>
      </c>
      <c r="H14" s="181">
        <f>IFERROR(VLOOKUP(D14,'미니게임_DATA(순)'!$A$5:$EV$38,81,0),0)</f>
        <v>132</v>
      </c>
      <c r="I14" s="563">
        <f>RANK(H18,($H$18,$H$23,$H$28,$H$33,H$38))</f>
        <v>3</v>
      </c>
      <c r="J14" s="566">
        <f>RANK(W18,($W$18,$W$23,$W$28,$W$33,$W$38))</f>
        <v>3</v>
      </c>
      <c r="K14" s="181">
        <f>IFERROR(VLOOKUP(D14,'미니게임_DATA(순)'!$A$5:$EV$38,82,0),0)</f>
        <v>167</v>
      </c>
      <c r="L14" s="563">
        <f>RANK(K18,($K$18,$K$23,$K$28,$K$33,$K$38))</f>
        <v>1</v>
      </c>
      <c r="M14" s="566">
        <f>P14</f>
        <v>2</v>
      </c>
      <c r="N14" s="181">
        <f>E14+H14+K14</f>
        <v>462</v>
      </c>
      <c r="O14" s="183">
        <f>N14/3</f>
        <v>154</v>
      </c>
      <c r="P14" s="579">
        <f>RANK(N18,($N$18,$N$23,$N$28,$N$33,$N$38))</f>
        <v>2</v>
      </c>
      <c r="Q14" s="586">
        <f>MAX($N$18,$N$23,N$28,N$33,N$38)-N18</f>
        <v>16</v>
      </c>
      <c r="R14" s="184">
        <f>IFERROR(O14-VLOOKUP(D14,'미니게임_DATA(순)'!$A:$FB,MATCH("rct 10g avg",'미니게임_DATA(순)'!$A$3:$FB$3,0),0),0)</f>
        <v>-5.1999999999999886</v>
      </c>
      <c r="S14" s="172" t="str">
        <f>VLOOKUP(D14,미니게임_DATA!$A:$BW,MATCH("성별",미니게임_DATA!$A$3:$BW$3,0),0)</f>
        <v>남</v>
      </c>
      <c r="T14" s="185">
        <f>MAX(  VLOOKUP(V14,'미니게임_DATA(순)'!$A$5:$EV$38,80,0),VLOOKUP(D14,'미니게임_DATA(순)'!$A$5:$EV$38,81,0), VLOOKUP(D14,'미니게임_DATA(순)'!$A$5:$EV$38,82,0))</f>
        <v>167</v>
      </c>
      <c r="U14" s="186">
        <f>VLOOKUP(V14,'미니게임_DATA(순)'!$A$5:$EW$38,87,0)</f>
        <v>151</v>
      </c>
      <c r="V14" s="187" t="str">
        <f>D14</f>
        <v>정동현</v>
      </c>
    </row>
    <row r="15" spans="2:24">
      <c r="C15" s="562"/>
      <c r="D15" s="188" t="s">
        <v>10</v>
      </c>
      <c r="E15" s="181">
        <f>IFERROR(VLOOKUP(D15,'미니게임_DATA(순)'!$A$5:$EV$38,80,0),0)</f>
        <v>131</v>
      </c>
      <c r="F15" s="564"/>
      <c r="G15" s="567"/>
      <c r="H15" s="181">
        <f>IFERROR(VLOOKUP(D15,'미니게임_DATA(순)'!$A$5:$EV$38,81,0),0)</f>
        <v>154</v>
      </c>
      <c r="I15" s="564"/>
      <c r="J15" s="567"/>
      <c r="K15" s="181">
        <f>IFERROR(VLOOKUP(D15,'미니게임_DATA(순)'!$A$5:$EV$38,82,0),0)</f>
        <v>180</v>
      </c>
      <c r="L15" s="564"/>
      <c r="M15" s="567"/>
      <c r="N15" s="182">
        <f t="shared" ref="N15:N18" si="0">E15+H15+K15</f>
        <v>465</v>
      </c>
      <c r="O15" s="189">
        <f t="shared" ref="O15:O17" si="1">N15/3</f>
        <v>155</v>
      </c>
      <c r="P15" s="580"/>
      <c r="Q15" s="587"/>
      <c r="R15" s="184">
        <f>IFERROR(O15-VLOOKUP(D15,'미니게임_DATA(순)'!$A:$FB,MATCH("rct 10g avg",'미니게임_DATA(순)'!$A$3:$FB$3,0),0),0)</f>
        <v>1.5999999999999943</v>
      </c>
      <c r="S15" s="172" t="str">
        <f>VLOOKUP(D15,미니게임_DATA!$A:$BW,MATCH("성별",미니게임_DATA!$A$3:$BW$3,0),0)</f>
        <v>남</v>
      </c>
      <c r="T15" s="185">
        <f>MAX(  VLOOKUP(V15,'미니게임_DATA(순)'!$A$5:$EV$38,80,0),VLOOKUP(D15,'미니게임_DATA(순)'!$A$5:$EV$38,81,0), VLOOKUP(D15,'미니게임_DATA(순)'!$A$5:$EV$38,82,0))</f>
        <v>180</v>
      </c>
      <c r="U15" s="186">
        <f>VLOOKUP(V15,'미니게임_DATA(순)'!$A$5:$EW$38,87,0)</f>
        <v>0</v>
      </c>
      <c r="V15" s="187" t="str">
        <f t="shared" ref="V15:V33" si="2">D15</f>
        <v>김신철</v>
      </c>
    </row>
    <row r="16" spans="2:24">
      <c r="C16" s="562"/>
      <c r="D16" s="188" t="s">
        <v>42</v>
      </c>
      <c r="E16" s="181">
        <f>IFERROR(VLOOKUP(D16,'미니게임_DATA(순)'!$A$5:$EV$38,80,0),0)+35</f>
        <v>175</v>
      </c>
      <c r="F16" s="564"/>
      <c r="G16" s="567"/>
      <c r="H16" s="181">
        <f>IFERROR(VLOOKUP(D16,'미니게임_DATA(순)'!$A$5:$EV$38,81,0),0)+35</f>
        <v>156</v>
      </c>
      <c r="I16" s="564"/>
      <c r="J16" s="567"/>
      <c r="K16" s="181">
        <f>IFERROR(VLOOKUP(D16,'미니게임_DATA(순)'!$A$5:$EV$38,82,0),0)+35</f>
        <v>130</v>
      </c>
      <c r="L16" s="564"/>
      <c r="M16" s="567"/>
      <c r="N16" s="182">
        <f t="shared" si="0"/>
        <v>461</v>
      </c>
      <c r="O16" s="189">
        <f t="shared" si="1"/>
        <v>153.66666666666666</v>
      </c>
      <c r="P16" s="580"/>
      <c r="Q16" s="587"/>
      <c r="R16" s="184">
        <f>IFERROR(O16-VLOOKUP(D16,'미니게임_DATA(순)'!$A:$FB,MATCH("rct 10g avg",'미니게임_DATA(순)'!$A$3:$FB$3,0),0),0)</f>
        <v>26.766666666666652</v>
      </c>
      <c r="S16" s="172" t="str">
        <f>VLOOKUP(D16,미니게임_DATA!$A:$BW,MATCH("성별",미니게임_DATA!$A$3:$BW$3,0),0)</f>
        <v>남</v>
      </c>
      <c r="T16" s="185">
        <f>MAX(  VLOOKUP(V16,'미니게임_DATA(순)'!$A$5:$EV$38,80,0),VLOOKUP(D16,'미니게임_DATA(순)'!$A$5:$EV$38,81,0), VLOOKUP(D16,'미니게임_DATA(순)'!$A$5:$EV$38,82,0))</f>
        <v>140</v>
      </c>
      <c r="U16" s="186">
        <f>VLOOKUP(V16,'미니게임_DATA(순)'!$A$5:$EW$38,87,0)</f>
        <v>0</v>
      </c>
      <c r="V16" s="187" t="str">
        <f t="shared" si="2"/>
        <v>권진현</v>
      </c>
    </row>
    <row r="17" spans="3:23">
      <c r="C17" s="562"/>
      <c r="D17" s="191"/>
      <c r="E17" s="182"/>
      <c r="F17" s="564"/>
      <c r="G17" s="567"/>
      <c r="H17" s="182"/>
      <c r="I17" s="564"/>
      <c r="J17" s="567"/>
      <c r="K17" s="182"/>
      <c r="L17" s="564"/>
      <c r="M17" s="567"/>
      <c r="N17" s="182">
        <f t="shared" si="0"/>
        <v>0</v>
      </c>
      <c r="O17" s="189">
        <f t="shared" si="1"/>
        <v>0</v>
      </c>
      <c r="P17" s="580"/>
      <c r="Q17" s="587"/>
      <c r="R17" s="184">
        <f>IFERROR(O17-VLOOKUP(D17,'미니게임_DATA(순)'!$A:$FB,MATCH("rct 10g avg",'미니게임_DATA(순)'!$A$3:$FB$3,0),0),0)</f>
        <v>0</v>
      </c>
      <c r="T17" s="185"/>
      <c r="U17" s="186"/>
      <c r="V17" s="187"/>
    </row>
    <row r="18" spans="3:23">
      <c r="C18" s="192"/>
      <c r="D18" s="193"/>
      <c r="E18" s="194">
        <f>SUMIF(E14:E17, "&gt;0")</f>
        <v>469</v>
      </c>
      <c r="F18" s="565"/>
      <c r="G18" s="568"/>
      <c r="H18" s="194">
        <f>SUMIF(H14:H17, "&gt;0")</f>
        <v>442</v>
      </c>
      <c r="I18" s="565"/>
      <c r="J18" s="568"/>
      <c r="K18" s="194">
        <f>SUMIF(K14:K17, "&gt;0")</f>
        <v>477</v>
      </c>
      <c r="L18" s="565"/>
      <c r="M18" s="568"/>
      <c r="N18" s="194">
        <f t="shared" si="0"/>
        <v>1388</v>
      </c>
      <c r="O18" s="195"/>
      <c r="P18" s="581"/>
      <c r="Q18" s="588"/>
      <c r="R18" s="184">
        <f>IFERROR(O18-VLOOKUP(D18,'미니게임_DATA(순)'!$A:$FB,MATCH("rct 10g avg",'미니게임_DATA(순)'!$A$3:$FB$3,0),0),0)</f>
        <v>0</v>
      </c>
      <c r="S18" s="185">
        <f>N18</f>
        <v>1388</v>
      </c>
      <c r="T18" s="185">
        <f>MAX(E18,H18,K18)</f>
        <v>477</v>
      </c>
      <c r="U18" s="186"/>
      <c r="V18" s="187">
        <f t="shared" si="2"/>
        <v>0</v>
      </c>
      <c r="W18" s="187">
        <f>SUM(E18,H18)</f>
        <v>911</v>
      </c>
    </row>
    <row r="19" spans="3:23">
      <c r="C19" s="561" t="s">
        <v>146</v>
      </c>
      <c r="D19" s="180" t="s">
        <v>8</v>
      </c>
      <c r="E19" s="181">
        <f>IFERROR(VLOOKUP(D19,'미니게임_DATA(순)'!$A$5:$EV$38,80,0),0)</f>
        <v>185</v>
      </c>
      <c r="F19" s="563">
        <f>RANK(E23,($E$18,$E$23,$E$28,$E$33,E$38))</f>
        <v>2</v>
      </c>
      <c r="G19" s="566">
        <f t="shared" ref="G19" si="3">F19</f>
        <v>2</v>
      </c>
      <c r="H19" s="181">
        <f>IFERROR(VLOOKUP(D19,'미니게임_DATA(순)'!$A$5:$EV$38,81,0),0)</f>
        <v>167</v>
      </c>
      <c r="I19" s="563">
        <f>RANK(H23,($H$18,$H$23,$H$28,$H$33,H$38))</f>
        <v>2</v>
      </c>
      <c r="J19" s="566">
        <f>RANK(W23,($W$18,$W$23,$W$28,$W$33,$W$38))</f>
        <v>2</v>
      </c>
      <c r="K19" s="181">
        <f>IFERROR(VLOOKUP(D19,'미니게임_DATA(순)'!$A$5:$EV$38,82,0),0)</f>
        <v>156</v>
      </c>
      <c r="L19" s="563">
        <f>RANK(K23,($K$18,$K$23,$K$28,$K$33,$K$38))</f>
        <v>2</v>
      </c>
      <c r="M19" s="566">
        <f t="shared" ref="M19" si="4">P19</f>
        <v>1</v>
      </c>
      <c r="N19" s="181">
        <f>E19+H19+K19</f>
        <v>508</v>
      </c>
      <c r="O19" s="183">
        <f>N19/3</f>
        <v>169.33333333333334</v>
      </c>
      <c r="P19" s="579">
        <f>RANK(N23,($N$18,$N$23,$N$28,$N$33,$N$38))</f>
        <v>1</v>
      </c>
      <c r="Q19" s="582">
        <f>MAX($N$18,$N$23,N$28,N$33,N$38)-N23</f>
        <v>0</v>
      </c>
      <c r="R19" s="184">
        <f>IFERROR(O19-VLOOKUP(D19,'미니게임_DATA(순)'!$A:$FB,MATCH("rct 10g avg",'미니게임_DATA(순)'!$A$3:$FB$3,0),0),0)</f>
        <v>-15.966666666666669</v>
      </c>
      <c r="S19" s="172" t="str">
        <f>VLOOKUP(D19,미니게임_DATA!$A:$BW,MATCH("성별",미니게임_DATA!$A$3:$BW$3,0),0)</f>
        <v>남</v>
      </c>
      <c r="T19" s="185">
        <f>MAX(  VLOOKUP(V19,'미니게임_DATA(순)'!$A$5:$EV$38,80,0),VLOOKUP(D19,'미니게임_DATA(순)'!$A$5:$EV$38,81,0), VLOOKUP(D19,'미니게임_DATA(순)'!$A$5:$EV$38,82,0))</f>
        <v>185</v>
      </c>
      <c r="U19" s="186">
        <f>VLOOKUP(V19,'미니게임_DATA(순)'!$A$5:$EW$38,87,0)</f>
        <v>172</v>
      </c>
      <c r="V19" s="187" t="str">
        <f t="shared" si="2"/>
        <v>조문수</v>
      </c>
    </row>
    <row r="20" spans="3:23">
      <c r="C20" s="585"/>
      <c r="D20" s="197" t="s">
        <v>119</v>
      </c>
      <c r="E20" s="181">
        <f>IFERROR(VLOOKUP(D20,'미니게임_DATA(순)'!$A$5:$EV$38,80,0),0)</f>
        <v>156</v>
      </c>
      <c r="F20" s="564"/>
      <c r="G20" s="567"/>
      <c r="H20" s="181">
        <f>IFERROR(VLOOKUP(D20,'미니게임_DATA(순)'!$A$5:$EV$38,81,0),0)</f>
        <v>140</v>
      </c>
      <c r="I20" s="564"/>
      <c r="J20" s="567"/>
      <c r="K20" s="181">
        <f>IFERROR(VLOOKUP(D20,'미니게임_DATA(순)'!$A$5:$EV$38,82,0),0)</f>
        <v>174</v>
      </c>
      <c r="L20" s="564"/>
      <c r="M20" s="567"/>
      <c r="N20" s="182">
        <f t="shared" ref="N20:N22" si="5">E20+H20+K20</f>
        <v>470</v>
      </c>
      <c r="O20" s="189">
        <f t="shared" ref="O20:O22" si="6">N20/3</f>
        <v>156.66666666666666</v>
      </c>
      <c r="P20" s="580"/>
      <c r="Q20" s="583"/>
      <c r="R20" s="184">
        <f>IFERROR(O20-VLOOKUP(D20,'미니게임_DATA(순)'!$A:$FB,MATCH("rct 10g avg",'미니게임_DATA(순)'!$A$3:$FB$3,0),0),0)</f>
        <v>-5.0333333333333314</v>
      </c>
      <c r="S20" s="172" t="str">
        <f>VLOOKUP(D20,미니게임_DATA!$A:$BW,MATCH("성별",미니게임_DATA!$A$3:$BW$3,0),0)</f>
        <v>남</v>
      </c>
      <c r="T20" s="185">
        <f>MAX(  VLOOKUP(V20,'미니게임_DATA(순)'!$A$5:$EV$38,80,0),VLOOKUP(D20,'미니게임_DATA(순)'!$A$5:$EV$38,81,0), VLOOKUP(D20,'미니게임_DATA(순)'!$A$5:$EV$38,82,0))</f>
        <v>174</v>
      </c>
      <c r="U20" s="186">
        <f>VLOOKUP(V20,'미니게임_DATA(순)'!$A$5:$EW$38,87,0)</f>
        <v>215</v>
      </c>
      <c r="V20" s="187" t="str">
        <f t="shared" si="2"/>
        <v>이수용</v>
      </c>
    </row>
    <row r="21" spans="3:23">
      <c r="C21" s="562"/>
      <c r="D21" s="188" t="s">
        <v>238</v>
      </c>
      <c r="E21" s="181">
        <f>IFERROR(VLOOKUP(D21,'미니게임_DATA(순)'!$A$5:$EV$38,80,0),0)</f>
        <v>133</v>
      </c>
      <c r="F21" s="564"/>
      <c r="G21" s="567"/>
      <c r="H21" s="181">
        <f>IFERROR(VLOOKUP(D21,'미니게임_DATA(순)'!$A$5:$EV$38,81,0),0)</f>
        <v>156</v>
      </c>
      <c r="I21" s="564"/>
      <c r="J21" s="567"/>
      <c r="K21" s="181">
        <f>IFERROR(VLOOKUP(D21,'미니게임_DATA(순)'!$A$5:$EV$38,82,0),0)</f>
        <v>137</v>
      </c>
      <c r="L21" s="564"/>
      <c r="M21" s="567"/>
      <c r="N21" s="182">
        <f t="shared" si="5"/>
        <v>426</v>
      </c>
      <c r="O21" s="189">
        <f t="shared" si="6"/>
        <v>142</v>
      </c>
      <c r="P21" s="580"/>
      <c r="Q21" s="583"/>
      <c r="R21" s="184">
        <f>IFERROR(O21-VLOOKUP(D21,'미니게임_DATA(순)'!$A:$FB,MATCH("rct 10g avg",'미니게임_DATA(순)'!$A$3:$FB$3,0),0),0)</f>
        <v>4.5999999999999943</v>
      </c>
      <c r="S21" s="172" t="str">
        <f>VLOOKUP(D21,미니게임_DATA!$A:$BW,MATCH("성별",미니게임_DATA!$A$3:$BW$3,0),0)</f>
        <v>여</v>
      </c>
      <c r="T21" s="185">
        <f>MAX(  VLOOKUP(V21,'미니게임_DATA(순)'!$A$5:$EV$38,80,0),VLOOKUP(D21,'미니게임_DATA(순)'!$A$5:$EV$38,81,0), VLOOKUP(D21,'미니게임_DATA(순)'!$A$5:$EV$38,82,0))</f>
        <v>156</v>
      </c>
      <c r="U21" s="186">
        <f>VLOOKUP(V21,'미니게임_DATA(순)'!$A$5:$EW$38,87,0)</f>
        <v>140</v>
      </c>
      <c r="V21" s="187" t="str">
        <f t="shared" si="2"/>
        <v>성소라</v>
      </c>
    </row>
    <row r="22" spans="3:23">
      <c r="C22" s="562"/>
      <c r="D22" s="188"/>
      <c r="E22" s="182"/>
      <c r="F22" s="564"/>
      <c r="G22" s="567"/>
      <c r="H22" s="182"/>
      <c r="I22" s="564"/>
      <c r="J22" s="567"/>
      <c r="K22" s="182"/>
      <c r="L22" s="564"/>
      <c r="M22" s="567"/>
      <c r="N22" s="182">
        <f t="shared" si="5"/>
        <v>0</v>
      </c>
      <c r="O22" s="189">
        <f t="shared" si="6"/>
        <v>0</v>
      </c>
      <c r="P22" s="580"/>
      <c r="Q22" s="583"/>
      <c r="R22" s="184">
        <f>IFERROR(O22-VLOOKUP(D22,'미니게임_DATA(순)'!$A:$FB,MATCH("rct 10g avg",'미니게임_DATA(순)'!$A$3:$FB$3,0),0),0)</f>
        <v>0</v>
      </c>
      <c r="T22" s="185"/>
      <c r="U22" s="186"/>
      <c r="V22" s="187"/>
    </row>
    <row r="23" spans="3:23">
      <c r="C23" s="192"/>
      <c r="D23" s="193"/>
      <c r="E23" s="194">
        <f t="shared" ref="E23" si="7">SUMIF(E19:E22, "&gt;0")</f>
        <v>474</v>
      </c>
      <c r="F23" s="565"/>
      <c r="G23" s="568"/>
      <c r="H23" s="194">
        <f t="shared" ref="H23" si="8">SUMIF(H19:H22, "&gt;0")</f>
        <v>463</v>
      </c>
      <c r="I23" s="565"/>
      <c r="J23" s="568"/>
      <c r="K23" s="194">
        <f>SUMIF(K19:K22, "&gt;0")</f>
        <v>467</v>
      </c>
      <c r="L23" s="565"/>
      <c r="M23" s="568"/>
      <c r="N23" s="194">
        <f>E23+H23+K23</f>
        <v>1404</v>
      </c>
      <c r="O23" s="195"/>
      <c r="P23" s="581"/>
      <c r="Q23" s="584"/>
      <c r="R23" s="184">
        <f>IFERROR(O23-VLOOKUP(D23,'미니게임_DATA(순)'!$A:$FB,MATCH("rct 10g avg",'미니게임_DATA(순)'!$A$3:$FB$3,0),0),0)</f>
        <v>0</v>
      </c>
      <c r="S23" s="185">
        <f>N23</f>
        <v>1404</v>
      </c>
      <c r="T23" s="185">
        <f>MAX(E23,H23,K23)</f>
        <v>474</v>
      </c>
      <c r="U23" s="186"/>
      <c r="V23" s="187">
        <f t="shared" si="2"/>
        <v>0</v>
      </c>
      <c r="W23" s="187">
        <f>SUM(E23,H23)</f>
        <v>937</v>
      </c>
    </row>
    <row r="24" spans="3:23">
      <c r="C24" s="561" t="s">
        <v>147</v>
      </c>
      <c r="D24" s="180" t="s">
        <v>273</v>
      </c>
      <c r="E24" s="181">
        <f>IFERROR(VLOOKUP(D24,'미니게임_DATA(순)'!$A$5:$EV$38,80,0),0)</f>
        <v>0</v>
      </c>
      <c r="F24" s="563">
        <f>RANK(E28,($E$18,$E$23,$E$28,$E$33,E$38))</f>
        <v>4</v>
      </c>
      <c r="G24" s="566">
        <f t="shared" ref="G24" si="9">F24</f>
        <v>4</v>
      </c>
      <c r="H24" s="181">
        <f>IFERROR(VLOOKUP(D24,'미니게임_DATA(순)'!$A$5:$EV$38,81,0),0)</f>
        <v>0</v>
      </c>
      <c r="I24" s="563">
        <f>RANK(H28,($H$18,$H$23,$H$28,$H$33,H$38))</f>
        <v>4</v>
      </c>
      <c r="J24" s="566">
        <f>RANK(W28,($W$18,$W$23,$W$28,$W$33,$W$38))</f>
        <v>4</v>
      </c>
      <c r="K24" s="181">
        <f>IFERROR(VLOOKUP(D24,'미니게임_DATA(순)'!$A$5:$EV$38,82,0),0)</f>
        <v>0</v>
      </c>
      <c r="L24" s="563">
        <f>RANK(K28,($K$18,$K$23,$K$28,$K$33,$K$38))</f>
        <v>4</v>
      </c>
      <c r="M24" s="566">
        <f t="shared" ref="M24" si="10">P24</f>
        <v>4</v>
      </c>
      <c r="N24" s="181">
        <f>E24+H24+K24</f>
        <v>0</v>
      </c>
      <c r="O24" s="183">
        <f>N24/3</f>
        <v>0</v>
      </c>
      <c r="P24" s="579">
        <f>RANK(N28,($N$18,$N$23,$N$28,$N$33,$N$38))</f>
        <v>4</v>
      </c>
      <c r="Q24" s="582">
        <f>MAX($N$18,$N$23,N$28,N$33,N$38)-N28</f>
        <v>381</v>
      </c>
      <c r="R24" s="184">
        <f>IFERROR(O24-VLOOKUP(D24,'미니게임_DATA(순)'!$A:$FB,MATCH("rct 10g avg",'미니게임_DATA(순)'!$A$3:$FB$3,0),0),0)</f>
        <v>-166.4</v>
      </c>
      <c r="S24" s="172" t="str">
        <f>VLOOKUP(D24,미니게임_DATA!$A:$BW,MATCH("성별",미니게임_DATA!$A$3:$BW$3,0),0)</f>
        <v>남</v>
      </c>
      <c r="T24" s="185" t="e">
        <f>MAX(  VLOOKUP(V24,'미니게임_DATA(순)'!$A$5:$EV$38,80,0),VLOOKUP(D24,'미니게임_DATA(순)'!$A$5:$EV$38,81,0), VLOOKUP(D24,'미니게임_DATA(순)'!$A$5:$EV$38,82,0))</f>
        <v>#N/A</v>
      </c>
      <c r="U24" s="186" t="e">
        <f>VLOOKUP(V24,'미니게임_DATA(순)'!$A$5:$EW$38,87,0)</f>
        <v>#N/A</v>
      </c>
      <c r="V24" s="187" t="str">
        <f t="shared" si="2"/>
        <v>최은규</v>
      </c>
    </row>
    <row r="25" spans="3:23">
      <c r="C25" s="562"/>
      <c r="D25" s="188" t="s">
        <v>274</v>
      </c>
      <c r="E25" s="181">
        <f>IFERROR(VLOOKUP(D25,'미니게임_DATA(순)'!$A$5:$EV$38,80,0),0)</f>
        <v>170</v>
      </c>
      <c r="F25" s="564"/>
      <c r="G25" s="567"/>
      <c r="H25" s="181">
        <f>IFERROR(VLOOKUP(D25,'미니게임_DATA(순)'!$A$5:$EV$38,81,0),0)</f>
        <v>166</v>
      </c>
      <c r="I25" s="564"/>
      <c r="J25" s="567"/>
      <c r="K25" s="181">
        <f>IFERROR(VLOOKUP(D25,'미니게임_DATA(순)'!$A$5:$EV$38,82,0),0)</f>
        <v>159</v>
      </c>
      <c r="L25" s="564"/>
      <c r="M25" s="567"/>
      <c r="N25" s="182">
        <f t="shared" ref="N25:N28" si="11">E25+H25+K25</f>
        <v>495</v>
      </c>
      <c r="O25" s="189">
        <f t="shared" ref="O25:O27" si="12">N25/3</f>
        <v>165</v>
      </c>
      <c r="P25" s="580"/>
      <c r="Q25" s="583"/>
      <c r="R25" s="184">
        <f>IFERROR(O25-VLOOKUP(D25,'미니게임_DATA(순)'!$A:$FB,MATCH("rct 10g avg",'미니게임_DATA(순)'!$A$3:$FB$3,0),0),0)</f>
        <v>6.9000000000000057</v>
      </c>
      <c r="S25" s="172" t="str">
        <f>VLOOKUP(D25,미니게임_DATA!$A:$BW,MATCH("성별",미니게임_DATA!$A$3:$BW$3,0),0)</f>
        <v>남</v>
      </c>
      <c r="T25" s="185">
        <f>MAX(  VLOOKUP(V25,'미니게임_DATA(순)'!$A$5:$EV$38,80,0),VLOOKUP(D25,'미니게임_DATA(순)'!$A$5:$EV$38,81,0), VLOOKUP(D25,'미니게임_DATA(순)'!$A$5:$EV$38,82,0))</f>
        <v>170</v>
      </c>
      <c r="U25" s="186">
        <f>VLOOKUP(V25,'미니게임_DATA(순)'!$A$5:$EW$38,87,0)</f>
        <v>161</v>
      </c>
      <c r="V25" s="187" t="str">
        <f t="shared" si="2"/>
        <v>박용승</v>
      </c>
    </row>
    <row r="26" spans="3:23">
      <c r="C26" s="562"/>
      <c r="D26" s="188" t="s">
        <v>22</v>
      </c>
      <c r="E26" s="181">
        <f>IFERROR(VLOOKUP(D26,'미니게임_DATA(순)'!$A$5:$EV$38,80,0),0)</f>
        <v>156</v>
      </c>
      <c r="F26" s="564"/>
      <c r="G26" s="567"/>
      <c r="H26" s="181">
        <f>IFERROR(VLOOKUP(D26,'미니게임_DATA(순)'!$A$5:$EV$38,81,0),0)</f>
        <v>171</v>
      </c>
      <c r="I26" s="564"/>
      <c r="J26" s="567"/>
      <c r="K26" s="181">
        <f>IFERROR(VLOOKUP(D26,'미니게임_DATA(순)'!$A$5:$EV$38,82,0),0)</f>
        <v>201</v>
      </c>
      <c r="L26" s="564"/>
      <c r="M26" s="567"/>
      <c r="N26" s="182">
        <f t="shared" si="11"/>
        <v>528</v>
      </c>
      <c r="O26" s="189">
        <f t="shared" si="12"/>
        <v>176</v>
      </c>
      <c r="P26" s="580"/>
      <c r="Q26" s="583"/>
      <c r="R26" s="184">
        <f>IFERROR(O26-VLOOKUP(D26,'미니게임_DATA(순)'!$A:$FB,MATCH("rct 10g avg",'미니게임_DATA(순)'!$A$3:$FB$3,0),0),0)</f>
        <v>32.599999999999994</v>
      </c>
      <c r="S26" s="172" t="str">
        <f>VLOOKUP(D26,미니게임_DATA!$A:$BW,MATCH("성별",미니게임_DATA!$A$3:$BW$3,0),0)</f>
        <v>남</v>
      </c>
      <c r="T26" s="185">
        <f>MAX(  VLOOKUP(V26,'미니게임_DATA(순)'!$A$5:$EV$38,80,0),VLOOKUP(D26,'미니게임_DATA(순)'!$A$5:$EV$38,81,0), VLOOKUP(D26,'미니게임_DATA(순)'!$A$5:$EV$38,82,0))</f>
        <v>201</v>
      </c>
      <c r="U26" s="186">
        <f>VLOOKUP(V26,'미니게임_DATA(순)'!$A$5:$EW$38,87,0)</f>
        <v>126</v>
      </c>
      <c r="V26" s="187" t="str">
        <f t="shared" si="2"/>
        <v>이강은</v>
      </c>
    </row>
    <row r="27" spans="3:23">
      <c r="C27" s="562"/>
      <c r="D27" s="188"/>
      <c r="E27" s="182">
        <f>IFERROR(VLOOKUP(D27,미니게임_DATA!$A:$GT,6,0),0)</f>
        <v>0</v>
      </c>
      <c r="F27" s="564"/>
      <c r="G27" s="567"/>
      <c r="H27" s="182">
        <f>IFERROR(VLOOKUP(D27,미니게임_DATA!$A:$GT,7,0),0)</f>
        <v>0</v>
      </c>
      <c r="I27" s="564"/>
      <c r="J27" s="567"/>
      <c r="K27" s="182">
        <f>IFERROR(VLOOKUP(D27,미니게임_DATA!$A:$GT,8,0),0)</f>
        <v>0</v>
      </c>
      <c r="L27" s="564"/>
      <c r="M27" s="567"/>
      <c r="N27" s="182">
        <f t="shared" si="11"/>
        <v>0</v>
      </c>
      <c r="O27" s="189">
        <f t="shared" si="12"/>
        <v>0</v>
      </c>
      <c r="P27" s="580"/>
      <c r="Q27" s="583"/>
      <c r="R27" s="184">
        <f>IFERROR(O27-VLOOKUP(D27,'미니게임_DATA(순)'!$A:$FB,MATCH("rct 10g avg",'미니게임_DATA(순)'!$A$3:$FB$3,0),0),0)</f>
        <v>0</v>
      </c>
      <c r="T27" s="185"/>
      <c r="U27" s="186"/>
      <c r="V27" s="187"/>
    </row>
    <row r="28" spans="3:23">
      <c r="C28" s="192"/>
      <c r="D28" s="193"/>
      <c r="E28" s="194">
        <f>SUMIF(E24:E27, "&gt;0")</f>
        <v>326</v>
      </c>
      <c r="F28" s="565"/>
      <c r="G28" s="568"/>
      <c r="H28" s="194">
        <f>SUMIF(H24:H27, "&gt;0")</f>
        <v>337</v>
      </c>
      <c r="I28" s="565"/>
      <c r="J28" s="568"/>
      <c r="K28" s="194">
        <f>SUMIF(K24:K27, "&gt;0")</f>
        <v>360</v>
      </c>
      <c r="L28" s="565"/>
      <c r="M28" s="568"/>
      <c r="N28" s="194">
        <f t="shared" si="11"/>
        <v>1023</v>
      </c>
      <c r="O28" s="195"/>
      <c r="P28" s="581"/>
      <c r="Q28" s="584"/>
      <c r="R28" s="184">
        <f>IFERROR(O28-VLOOKUP(D28,'미니게임_DATA(순)'!$A:$FB,MATCH("rct 10g avg",'미니게임_DATA(순)'!$A$3:$FB$3,0),0),0)</f>
        <v>0</v>
      </c>
      <c r="S28" s="185">
        <f>N28</f>
        <v>1023</v>
      </c>
      <c r="T28" s="185">
        <f>MAX(E28,H28,K28)</f>
        <v>360</v>
      </c>
      <c r="U28" s="186"/>
      <c r="V28" s="187">
        <f t="shared" si="2"/>
        <v>0</v>
      </c>
      <c r="W28" s="187">
        <f>SUM(E28,H28)</f>
        <v>663</v>
      </c>
    </row>
    <row r="29" spans="3:23">
      <c r="C29" s="561" t="s">
        <v>148</v>
      </c>
      <c r="D29" s="180" t="s">
        <v>173</v>
      </c>
      <c r="E29" s="181">
        <f>IFERROR(VLOOKUP(D29,'미니게임_DATA(순)'!$A$5:$EV$38,80,0),0)</f>
        <v>127</v>
      </c>
      <c r="F29" s="563">
        <f>RANK(E33,($E$18,$E$23,$E$28,$E$33,$E$38))</f>
        <v>1</v>
      </c>
      <c r="G29" s="566">
        <f t="shared" ref="G29" si="13">F29</f>
        <v>1</v>
      </c>
      <c r="H29" s="181">
        <f>IFERROR(VLOOKUP(D29,'미니게임_DATA(순)'!$A$5:$EV$38,81,0),0)</f>
        <v>181</v>
      </c>
      <c r="I29" s="563">
        <f>RANK(H33,($H$18,$H$23,$H$28,$H$33,H$38))</f>
        <v>1</v>
      </c>
      <c r="J29" s="566">
        <f>RANK(W33,($W$18,$W$23,$W$28,$W$33,$W$38))</f>
        <v>1</v>
      </c>
      <c r="K29" s="181">
        <f>IFERROR(VLOOKUP(D29,'미니게임_DATA(순)'!$A$5:$EV$38,82,0),0)</f>
        <v>124</v>
      </c>
      <c r="L29" s="563">
        <f>RANK(K33,($K$18,$K$23,$K$28,$K$33,$K$38))</f>
        <v>3</v>
      </c>
      <c r="M29" s="566">
        <f t="shared" ref="M29" si="14">P29</f>
        <v>3</v>
      </c>
      <c r="N29" s="181">
        <f>E29+H29+K29</f>
        <v>432</v>
      </c>
      <c r="O29" s="183">
        <f>N29/3</f>
        <v>144</v>
      </c>
      <c r="P29" s="579">
        <f>RANK(N33,($N$18,$N$23,$N$28,$N$33,$N$38))</f>
        <v>3</v>
      </c>
      <c r="Q29" s="582">
        <f>MAX($N$18,$N$23,N$28,N$33,N$38)-N33</f>
        <v>43</v>
      </c>
      <c r="R29" s="184">
        <f>IFERROR(O29-VLOOKUP(D29,'미니게임_DATA(순)'!$A:$FB,MATCH("rct 10g avg",'미니게임_DATA(순)'!$A$3:$FB$3,0),0),0)</f>
        <v>-17.199999999999989</v>
      </c>
      <c r="S29" s="172" t="str">
        <f>VLOOKUP(D29,미니게임_DATA!$A:$BW,MATCH("성별",미니게임_DATA!$A$3:$BW$3,0),0)</f>
        <v>남</v>
      </c>
      <c r="T29" s="185">
        <f>MAX(  VLOOKUP(V29,'미니게임_DATA(순)'!$A$5:$EV$38,80,0),VLOOKUP(D29,'미니게임_DATA(순)'!$A$5:$EV$38,81,0), VLOOKUP(D29,'미니게임_DATA(순)'!$A$5:$EV$38,82,0))</f>
        <v>181</v>
      </c>
      <c r="U29" s="186">
        <f>VLOOKUP(V29,'미니게임_DATA(순)'!$A$5:$EW$38,87,0)</f>
        <v>162</v>
      </c>
      <c r="V29" s="187" t="str">
        <f t="shared" si="2"/>
        <v>백동민</v>
      </c>
    </row>
    <row r="30" spans="3:23">
      <c r="C30" s="585"/>
      <c r="D30" s="197" t="s">
        <v>14</v>
      </c>
      <c r="E30" s="181">
        <f>IFERROR(VLOOKUP(D30,'미니게임_DATA(순)'!$A$5:$EV$38,80,0),0)</f>
        <v>195</v>
      </c>
      <c r="F30" s="564"/>
      <c r="G30" s="567"/>
      <c r="H30" s="181">
        <f>IFERROR(VLOOKUP(D30,'미니게임_DATA(순)'!$A$5:$EV$38,81,0),0)</f>
        <v>130</v>
      </c>
      <c r="I30" s="564"/>
      <c r="J30" s="567"/>
      <c r="K30" s="181">
        <f>IFERROR(VLOOKUP(D30,'미니게임_DATA(순)'!$A$5:$EV$38,82,0),0)</f>
        <v>124</v>
      </c>
      <c r="L30" s="564"/>
      <c r="M30" s="567"/>
      <c r="N30" s="182">
        <f t="shared" ref="N30:N33" si="15">E30+H30+K30</f>
        <v>449</v>
      </c>
      <c r="O30" s="189">
        <f t="shared" ref="O30:O32" si="16">N30/3</f>
        <v>149.66666666666666</v>
      </c>
      <c r="P30" s="580"/>
      <c r="Q30" s="583"/>
      <c r="R30" s="184">
        <f>IFERROR(O30-VLOOKUP(D30,'미니게임_DATA(순)'!$A:$FB,MATCH("rct 10g avg",'미니게임_DATA(순)'!$A$3:$FB$3,0),0),0)</f>
        <v>-12.533333333333331</v>
      </c>
      <c r="S30" s="172" t="s">
        <v>156</v>
      </c>
      <c r="T30" s="185">
        <f>MAX(  VLOOKUP(V30,'미니게임_DATA(순)'!$A$5:$EV$38,80,0),VLOOKUP(D30,'미니게임_DATA(순)'!$A$5:$EV$38,81,0), VLOOKUP(D30,'미니게임_DATA(순)'!$A$5:$EV$38,82,0))</f>
        <v>195</v>
      </c>
      <c r="U30" s="186">
        <f>VLOOKUP(V30,'미니게임_DATA(순)'!$A$5:$EW$38,87,0)</f>
        <v>197</v>
      </c>
      <c r="V30" s="187" t="str">
        <f t="shared" si="2"/>
        <v>채승엽</v>
      </c>
    </row>
    <row r="31" spans="3:23">
      <c r="C31" s="562"/>
      <c r="D31" s="188" t="s">
        <v>269</v>
      </c>
      <c r="E31" s="181">
        <v>160</v>
      </c>
      <c r="F31" s="564"/>
      <c r="G31" s="567"/>
      <c r="H31" s="181">
        <v>160</v>
      </c>
      <c r="I31" s="564"/>
      <c r="J31" s="567"/>
      <c r="K31" s="181">
        <v>160</v>
      </c>
      <c r="L31" s="564"/>
      <c r="M31" s="567"/>
      <c r="N31" s="182">
        <f t="shared" si="15"/>
        <v>480</v>
      </c>
      <c r="O31" s="189">
        <f t="shared" si="16"/>
        <v>160</v>
      </c>
      <c r="P31" s="580"/>
      <c r="Q31" s="583"/>
      <c r="R31" s="184">
        <f>IFERROR(O31-VLOOKUP(D31,'미니게임_DATA(순)'!$A:$FB,MATCH("rct 10g avg",'미니게임_DATA(순)'!$A$3:$FB$3,0),0),0)</f>
        <v>0</v>
      </c>
      <c r="T31" s="185"/>
      <c r="U31" s="186"/>
      <c r="V31" s="187"/>
    </row>
    <row r="32" spans="3:23">
      <c r="C32" s="562"/>
      <c r="D32" s="188"/>
      <c r="E32" s="182"/>
      <c r="F32" s="564"/>
      <c r="G32" s="567"/>
      <c r="H32" s="182"/>
      <c r="I32" s="564"/>
      <c r="J32" s="567"/>
      <c r="K32" s="181">
        <f>IFERROR(VLOOKUP(D32,'미니게임_DATA(순)'!$A$5:$BU$38,73,0),0)</f>
        <v>0</v>
      </c>
      <c r="L32" s="564"/>
      <c r="M32" s="567"/>
      <c r="N32" s="182">
        <f t="shared" si="15"/>
        <v>0</v>
      </c>
      <c r="O32" s="189">
        <f t="shared" si="16"/>
        <v>0</v>
      </c>
      <c r="P32" s="580"/>
      <c r="Q32" s="583"/>
      <c r="R32" s="184">
        <f>IFERROR(O32-VLOOKUP(D32,'미니게임_DATA(순)'!$A:$FB,MATCH("rct 10g avg",'미니게임_DATA(순)'!$A$3:$FB$3,0),0),0)</f>
        <v>0</v>
      </c>
      <c r="T32" s="185"/>
      <c r="U32" s="186"/>
      <c r="V32" s="187"/>
    </row>
    <row r="33" spans="2:24">
      <c r="C33" s="192"/>
      <c r="D33" s="193"/>
      <c r="E33" s="194">
        <f t="shared" ref="E33" si="17">SUMIF(E29:E32, "&gt;0")</f>
        <v>482</v>
      </c>
      <c r="F33" s="565"/>
      <c r="G33" s="568"/>
      <c r="H33" s="194">
        <f t="shared" ref="H33" si="18">SUMIF(H29:H32, "&gt;0")</f>
        <v>471</v>
      </c>
      <c r="I33" s="565"/>
      <c r="J33" s="568"/>
      <c r="K33" s="194">
        <f>SUMIF(K29:K32, "&gt;0")</f>
        <v>408</v>
      </c>
      <c r="L33" s="565"/>
      <c r="M33" s="568"/>
      <c r="N33" s="194">
        <f t="shared" si="15"/>
        <v>1361</v>
      </c>
      <c r="O33" s="195"/>
      <c r="P33" s="581"/>
      <c r="Q33" s="584"/>
      <c r="R33" s="184">
        <f>IFERROR(O33-VLOOKUP(D33,'미니게임_DATA(순)'!$A:$FB,MATCH("rct 10g avg",'미니게임_DATA(순)'!$A$3:$FB$3,0),0),0)</f>
        <v>0</v>
      </c>
      <c r="S33" s="185">
        <f>N33</f>
        <v>1361</v>
      </c>
      <c r="T33" s="185">
        <f>MAX(E33,H33,K33)</f>
        <v>482</v>
      </c>
      <c r="U33" s="186"/>
      <c r="V33" s="187">
        <f t="shared" si="2"/>
        <v>0</v>
      </c>
      <c r="W33" s="187">
        <f>SUM(E33,H33)</f>
        <v>953</v>
      </c>
    </row>
    <row r="34" spans="2:24">
      <c r="C34" s="561"/>
      <c r="D34" s="180"/>
      <c r="E34" s="181"/>
      <c r="F34" s="563"/>
      <c r="G34" s="566"/>
      <c r="H34" s="181"/>
      <c r="I34" s="563"/>
      <c r="J34" s="566"/>
      <c r="K34" s="181"/>
      <c r="L34" s="563"/>
      <c r="M34" s="566"/>
      <c r="N34" s="181"/>
      <c r="O34" s="183"/>
      <c r="P34" s="579"/>
      <c r="Q34" s="582"/>
      <c r="R34" s="184"/>
      <c r="T34" s="185"/>
      <c r="U34" s="186"/>
      <c r="V34" s="187"/>
    </row>
    <row r="35" spans="2:24" s="172" customFormat="1">
      <c r="B35" s="169"/>
      <c r="C35" s="585"/>
      <c r="D35" s="197"/>
      <c r="E35" s="181"/>
      <c r="F35" s="564"/>
      <c r="G35" s="567"/>
      <c r="H35" s="181"/>
      <c r="I35" s="564"/>
      <c r="J35" s="567"/>
      <c r="K35" s="181"/>
      <c r="L35" s="564"/>
      <c r="M35" s="567"/>
      <c r="N35" s="182"/>
      <c r="O35" s="189"/>
      <c r="P35" s="580"/>
      <c r="Q35" s="583"/>
      <c r="R35" s="184"/>
      <c r="T35" s="185"/>
      <c r="U35" s="186"/>
      <c r="V35" s="187"/>
      <c r="W35" s="169"/>
      <c r="X35" s="169"/>
    </row>
    <row r="36" spans="2:24" s="172" customFormat="1">
      <c r="B36" s="169"/>
      <c r="C36" s="562"/>
      <c r="D36" s="188"/>
      <c r="E36" s="181"/>
      <c r="F36" s="564"/>
      <c r="G36" s="567"/>
      <c r="H36" s="181"/>
      <c r="I36" s="564"/>
      <c r="J36" s="567"/>
      <c r="K36" s="181"/>
      <c r="L36" s="564"/>
      <c r="M36" s="567"/>
      <c r="N36" s="182"/>
      <c r="O36" s="189"/>
      <c r="P36" s="580"/>
      <c r="Q36" s="583"/>
      <c r="R36" s="184"/>
      <c r="T36" s="185"/>
      <c r="U36" s="186"/>
      <c r="V36" s="187"/>
      <c r="W36" s="169"/>
      <c r="X36" s="169"/>
    </row>
    <row r="37" spans="2:24">
      <c r="C37" s="562"/>
      <c r="D37" s="188"/>
      <c r="E37" s="182"/>
      <c r="F37" s="564"/>
      <c r="G37" s="567"/>
      <c r="H37" s="182"/>
      <c r="I37" s="564"/>
      <c r="J37" s="567"/>
      <c r="K37" s="181"/>
      <c r="L37" s="564"/>
      <c r="M37" s="567"/>
      <c r="N37" s="182"/>
      <c r="O37" s="189"/>
      <c r="P37" s="580"/>
      <c r="Q37" s="583"/>
      <c r="R37" s="184"/>
      <c r="T37" s="185"/>
      <c r="U37" s="186"/>
      <c r="V37" s="187"/>
    </row>
    <row r="38" spans="2:24">
      <c r="C38" s="192"/>
      <c r="D38" s="193"/>
      <c r="E38" s="194"/>
      <c r="F38" s="565"/>
      <c r="G38" s="568"/>
      <c r="H38" s="194"/>
      <c r="I38" s="565"/>
      <c r="J38" s="568"/>
      <c r="K38" s="194"/>
      <c r="L38" s="565"/>
      <c r="M38" s="568"/>
      <c r="N38" s="194"/>
      <c r="O38" s="195"/>
      <c r="P38" s="581"/>
      <c r="Q38" s="584"/>
      <c r="R38" s="184"/>
      <c r="S38" s="185"/>
      <c r="T38" s="185"/>
      <c r="U38" s="186"/>
      <c r="V38" s="187"/>
      <c r="W38" s="187"/>
    </row>
  </sheetData>
  <mergeCells count="62">
    <mergeCell ref="M34:M38"/>
    <mergeCell ref="P34:P38"/>
    <mergeCell ref="Q34:Q38"/>
    <mergeCell ref="C34:C37"/>
    <mergeCell ref="F34:F38"/>
    <mergeCell ref="G34:G38"/>
    <mergeCell ref="I34:I38"/>
    <mergeCell ref="J34:J38"/>
    <mergeCell ref="L34:L38"/>
    <mergeCell ref="L29:L33"/>
    <mergeCell ref="M29:M33"/>
    <mergeCell ref="P29:P33"/>
    <mergeCell ref="Q29:Q33"/>
    <mergeCell ref="C24:C27"/>
    <mergeCell ref="F24:F28"/>
    <mergeCell ref="G24:G28"/>
    <mergeCell ref="C29:C32"/>
    <mergeCell ref="F29:F33"/>
    <mergeCell ref="G29:G33"/>
    <mergeCell ref="I29:I33"/>
    <mergeCell ref="J29:J33"/>
    <mergeCell ref="I24:I28"/>
    <mergeCell ref="J24:J28"/>
    <mergeCell ref="L24:L28"/>
    <mergeCell ref="M24:M28"/>
    <mergeCell ref="M14:M18"/>
    <mergeCell ref="P14:P18"/>
    <mergeCell ref="Q14:Q18"/>
    <mergeCell ref="L19:L23"/>
    <mergeCell ref="M19:M23"/>
    <mergeCell ref="P19:P23"/>
    <mergeCell ref="Q19:Q23"/>
    <mergeCell ref="P24:P28"/>
    <mergeCell ref="Q24:Q28"/>
    <mergeCell ref="C19:C22"/>
    <mergeCell ref="F19:F23"/>
    <mergeCell ref="G19:G23"/>
    <mergeCell ref="I19:I23"/>
    <mergeCell ref="J19:J23"/>
    <mergeCell ref="R11:R13"/>
    <mergeCell ref="E12:G12"/>
    <mergeCell ref="H12:J12"/>
    <mergeCell ref="K12:M12"/>
    <mergeCell ref="C14:C17"/>
    <mergeCell ref="F14:F18"/>
    <mergeCell ref="G14:G18"/>
    <mergeCell ref="I14:I18"/>
    <mergeCell ref="J14:J18"/>
    <mergeCell ref="L14:L18"/>
    <mergeCell ref="C11:C13"/>
    <mergeCell ref="D11:D13"/>
    <mergeCell ref="E11:K11"/>
    <mergeCell ref="N11:N13"/>
    <mergeCell ref="O11:O13"/>
    <mergeCell ref="P11:Q12"/>
    <mergeCell ref="B2:B3"/>
    <mergeCell ref="B4:B5"/>
    <mergeCell ref="B6:B9"/>
    <mergeCell ref="D6:E6"/>
    <mergeCell ref="D7:E7"/>
    <mergeCell ref="D8:E8"/>
    <mergeCell ref="D9:E9"/>
  </mergeCells>
  <phoneticPr fontId="2" type="noConversion"/>
  <conditionalFormatting sqref="F39:G1048576 F1:G13 I1:J13 L1:M13 L39:M1048576 I39:J1048576">
    <cfRule type="cellIs" dxfId="95" priority="9" operator="equal">
      <formula>1</formula>
    </cfRule>
  </conditionalFormatting>
  <conditionalFormatting sqref="M14:M33">
    <cfRule type="cellIs" dxfId="94" priority="7" operator="equal">
      <formula>1</formula>
    </cfRule>
  </conditionalFormatting>
  <conditionalFormatting sqref="F14:G14 F19:G19 G15:G18 G30:G33 F29:G29 G25:G28 F24:G24 G20:G23">
    <cfRule type="cellIs" dxfId="93" priority="8" operator="equal">
      <formula>1</formula>
    </cfRule>
  </conditionalFormatting>
  <conditionalFormatting sqref="I14:J14 I19 I29 I24 J15:J33">
    <cfRule type="cellIs" dxfId="92" priority="6" operator="equal">
      <formula>1</formula>
    </cfRule>
  </conditionalFormatting>
  <conditionalFormatting sqref="L14 L19 L29 L24">
    <cfRule type="cellIs" dxfId="91" priority="5" operator="equal">
      <formula>1</formula>
    </cfRule>
  </conditionalFormatting>
  <conditionalFormatting sqref="M34:M38">
    <cfRule type="cellIs" dxfId="90" priority="3" operator="equal">
      <formula>1</formula>
    </cfRule>
  </conditionalFormatting>
  <conditionalFormatting sqref="G35:G38 F34:G34">
    <cfRule type="cellIs" dxfId="89" priority="4" operator="equal">
      <formula>1</formula>
    </cfRule>
  </conditionalFormatting>
  <conditionalFormatting sqref="I34 J34:J38">
    <cfRule type="cellIs" dxfId="88" priority="2" operator="equal">
      <formula>1</formula>
    </cfRule>
  </conditionalFormatting>
  <conditionalFormatting sqref="L34">
    <cfRule type="cellIs" dxfId="87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8"/>
  <sheetViews>
    <sheetView showGridLines="0" zoomScaleNormal="100" workbookViewId="0">
      <selection activeCell="Z8" sqref="Z8"/>
    </sheetView>
  </sheetViews>
  <sheetFormatPr defaultColWidth="9" defaultRowHeight="13.5"/>
  <cols>
    <col min="1" max="5" width="9" style="169"/>
    <col min="6" max="7" width="5.375" style="169" customWidth="1"/>
    <col min="8" max="8" width="9" style="169"/>
    <col min="9" max="10" width="5.375" style="169" customWidth="1"/>
    <col min="11" max="11" width="9" style="169"/>
    <col min="12" max="13" width="5.375" style="169" customWidth="1"/>
    <col min="14" max="14" width="9" style="170"/>
    <col min="15" max="15" width="9.375" style="171" bestFit="1" customWidth="1"/>
    <col min="16" max="18" width="9" style="169"/>
    <col min="19" max="20" width="9" style="172" hidden="1" customWidth="1"/>
    <col min="21" max="23" width="9" style="169" hidden="1" customWidth="1"/>
    <col min="24" max="16384" width="9" style="169"/>
  </cols>
  <sheetData>
    <row r="2" spans="2:24">
      <c r="B2" s="550" t="s">
        <v>154</v>
      </c>
      <c r="C2" s="166" t="s">
        <v>156</v>
      </c>
      <c r="D2" s="167" t="e">
        <f>VLOOKUP(E2,$T$14:$V$38,3,0)</f>
        <v>#N/A</v>
      </c>
      <c r="E2" s="168" t="e">
        <f t="array" ref="E2">MAX(IF($S$14:$S$38="남",$T$14:$T$38))</f>
        <v>#N/A</v>
      </c>
    </row>
    <row r="3" spans="2:24">
      <c r="B3" s="551"/>
      <c r="C3" s="166" t="s">
        <v>157</v>
      </c>
      <c r="D3" s="167" t="str">
        <f>VLOOKUP(E3,$T$14:$V$38,3,0)</f>
        <v>성소라</v>
      </c>
      <c r="E3" s="173">
        <f t="array" ref="E3">MAX(IF($S$14:$S$38="여",$T$14:$T$38))</f>
        <v>149</v>
      </c>
    </row>
    <row r="4" spans="2:24">
      <c r="B4" s="550" t="s">
        <v>158</v>
      </c>
      <c r="C4" s="166" t="s">
        <v>156</v>
      </c>
      <c r="D4" s="167" t="e">
        <f>VLOOKUP(E4,$U$14:$V$33,2,0)</f>
        <v>#N/A</v>
      </c>
      <c r="E4" s="168" t="e">
        <f t="array" ref="E4">MAX(IF($S$14:$S$38="남",$U$14:$U$38))</f>
        <v>#N/A</v>
      </c>
    </row>
    <row r="5" spans="2:24">
      <c r="B5" s="551"/>
      <c r="C5" s="166" t="s">
        <v>157</v>
      </c>
      <c r="D5" s="167" t="str">
        <f>VLOOKUP(E5,$U$14:$V$38,2,0)</f>
        <v>성소라</v>
      </c>
      <c r="E5" s="173">
        <f t="array" ref="E5">MAX(IF($S$14:$S$38="여",$U$14:$U$38))</f>
        <v>124</v>
      </c>
    </row>
    <row r="6" spans="2:24" ht="16.5">
      <c r="B6" s="550" t="s">
        <v>224</v>
      </c>
      <c r="C6" s="235" t="s">
        <v>154</v>
      </c>
      <c r="D6" s="554"/>
      <c r="E6" s="472"/>
    </row>
    <row r="7" spans="2:24" ht="16.5">
      <c r="B7" s="552"/>
      <c r="C7" s="235" t="s">
        <v>226</v>
      </c>
      <c r="D7" s="554"/>
      <c r="E7" s="472"/>
    </row>
    <row r="8" spans="2:24" ht="16.5">
      <c r="B8" s="557"/>
      <c r="C8" s="235" t="s">
        <v>227</v>
      </c>
      <c r="D8" s="554" t="s">
        <v>270</v>
      </c>
      <c r="E8" s="472"/>
    </row>
    <row r="9" spans="2:24" ht="16.5">
      <c r="B9" s="553"/>
      <c r="C9" s="166" t="s">
        <v>229</v>
      </c>
      <c r="D9" s="554" t="s">
        <v>239</v>
      </c>
      <c r="E9" s="472"/>
    </row>
    <row r="11" spans="2:24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174"/>
      <c r="M11" s="174"/>
      <c r="N11" s="569" t="s">
        <v>142</v>
      </c>
      <c r="O11" s="572" t="s">
        <v>184</v>
      </c>
      <c r="P11" s="575" t="s">
        <v>169</v>
      </c>
      <c r="Q11" s="576"/>
      <c r="R11" s="540" t="s">
        <v>143</v>
      </c>
    </row>
    <row r="12" spans="2:24">
      <c r="C12" s="543"/>
      <c r="D12" s="543"/>
      <c r="E12" s="544">
        <v>1</v>
      </c>
      <c r="F12" s="545"/>
      <c r="G12" s="560"/>
      <c r="H12" s="544">
        <v>2</v>
      </c>
      <c r="I12" s="545"/>
      <c r="J12" s="560"/>
      <c r="K12" s="544">
        <v>3</v>
      </c>
      <c r="L12" s="545"/>
      <c r="M12" s="560"/>
      <c r="N12" s="570"/>
      <c r="O12" s="573"/>
      <c r="P12" s="577"/>
      <c r="Q12" s="578"/>
      <c r="R12" s="558"/>
      <c r="X12" s="172"/>
    </row>
    <row r="13" spans="2:24" ht="27">
      <c r="C13" s="543"/>
      <c r="D13" s="543"/>
      <c r="E13" s="175" t="s">
        <v>150</v>
      </c>
      <c r="F13" s="176" t="s">
        <v>152</v>
      </c>
      <c r="G13" s="177" t="s">
        <v>153</v>
      </c>
      <c r="H13" s="175" t="s">
        <v>150</v>
      </c>
      <c r="I13" s="176" t="s">
        <v>152</v>
      </c>
      <c r="J13" s="177" t="s">
        <v>153</v>
      </c>
      <c r="K13" s="175" t="s">
        <v>150</v>
      </c>
      <c r="L13" s="176" t="s">
        <v>152</v>
      </c>
      <c r="M13" s="177" t="s">
        <v>153</v>
      </c>
      <c r="N13" s="571"/>
      <c r="O13" s="574"/>
      <c r="P13" s="178" t="s">
        <v>144</v>
      </c>
      <c r="Q13" s="254" t="s">
        <v>168</v>
      </c>
      <c r="R13" s="559"/>
      <c r="T13" s="172" t="s">
        <v>170</v>
      </c>
      <c r="U13" s="169" t="s">
        <v>171</v>
      </c>
    </row>
    <row r="14" spans="2:24">
      <c r="C14" s="561" t="s">
        <v>145</v>
      </c>
      <c r="D14" s="180" t="s">
        <v>13</v>
      </c>
      <c r="E14" s="181">
        <f>IFERROR(VLOOKUP($D$14,'미니게임_DATA(순)'!$A$5:$EV$38,77,0),0)</f>
        <v>144</v>
      </c>
      <c r="F14" s="563">
        <f>RANK(E18,($E$18,$E$23,$E$28,$E$33,E$38))</f>
        <v>1</v>
      </c>
      <c r="G14" s="566">
        <f>F14</f>
        <v>1</v>
      </c>
      <c r="H14" s="181">
        <f>IFERROR(VLOOKUP(D14,'미니게임_DATA(순)'!$A$5:$EV$38,78,0),0)</f>
        <v>179</v>
      </c>
      <c r="I14" s="563">
        <f>RANK(H18,($H$18,$H$23,$H$28,$H$33,H$38))</f>
        <v>2</v>
      </c>
      <c r="J14" s="566">
        <f>RANK(W18,($W$18,$W$23,$W$28,$W$33,$W$38))</f>
        <v>1</v>
      </c>
      <c r="K14" s="181">
        <f>IFERROR(VLOOKUP(D14,'미니게임_DATA(순)'!$A$5:$EV$38,79,0),0)</f>
        <v>162</v>
      </c>
      <c r="L14" s="563">
        <f>RANK(K18,($K$18,$K$23,$K$28,$K$33,$K$38))</f>
        <v>3</v>
      </c>
      <c r="M14" s="566">
        <f>P14</f>
        <v>1</v>
      </c>
      <c r="N14" s="181">
        <f>E14+H14+K14</f>
        <v>485</v>
      </c>
      <c r="O14" s="183">
        <f>N14/3</f>
        <v>161.66666666666666</v>
      </c>
      <c r="P14" s="579">
        <f>RANK(N18,($N$18,$N$23,$N$28,$N$33,$N$38))</f>
        <v>1</v>
      </c>
      <c r="Q14" s="586">
        <f>MAX($N$18,$N$23,N$28,N$33,N$38)-N18</f>
        <v>0</v>
      </c>
      <c r="R14" s="184">
        <f>IFERROR(O14-VLOOKUP(D14,'미니게임_DATA(순)'!$A:$FB,MATCH("rct 10g avg",'미니게임_DATA(순)'!$A$3:$FB$3,0),0),0)</f>
        <v>2.4666666666666686</v>
      </c>
      <c r="S14" s="172" t="str">
        <f>VLOOKUP(D14,미니게임_DATA!$A:$BW,MATCH("성별",미니게임_DATA!$A$3:$BW$3,0),0)</f>
        <v>남</v>
      </c>
      <c r="T14" s="185">
        <f>MAX(  VLOOKUP(V14,'미니게임_DATA(순)'!$A$5:$EV$38,77,0),VLOOKUP(D14,'미니게임_DATA(순)'!$A$5:$EV$38,78,0), VLOOKUP(D14,'미니게임_DATA(순)'!$A$5:$EV$38,79,0))</f>
        <v>179</v>
      </c>
      <c r="U14" s="186">
        <f>VLOOKUP(V14,'미니게임_DATA(순)'!$A$5:$EW$38,84,0)</f>
        <v>197</v>
      </c>
      <c r="V14" s="187" t="str">
        <f>D14</f>
        <v>정동현</v>
      </c>
    </row>
    <row r="15" spans="2:24">
      <c r="C15" s="562"/>
      <c r="D15" s="188" t="s">
        <v>23</v>
      </c>
      <c r="E15" s="181">
        <f>IFERROR(VLOOKUP($D$15,'미니게임_DATA(순)'!$A$5:$EV$38,77,0),0)</f>
        <v>208</v>
      </c>
      <c r="F15" s="564"/>
      <c r="G15" s="567"/>
      <c r="H15" s="181">
        <f>IFERROR(VLOOKUP(D15,'미니게임_DATA(순)'!$A$5:$EV$38,78,0),0)</f>
        <v>186</v>
      </c>
      <c r="I15" s="564"/>
      <c r="J15" s="567"/>
      <c r="K15" s="181">
        <f>IFERROR(VLOOKUP(D15,'미니게임_DATA(순)'!$A$5:$EV$38,79,0),0)</f>
        <v>135</v>
      </c>
      <c r="L15" s="564"/>
      <c r="M15" s="567"/>
      <c r="N15" s="182">
        <f t="shared" ref="N15:N18" si="0">E15+H15+K15</f>
        <v>529</v>
      </c>
      <c r="O15" s="189">
        <f t="shared" ref="O15:O17" si="1">N15/3</f>
        <v>176.33333333333334</v>
      </c>
      <c r="P15" s="580"/>
      <c r="Q15" s="587"/>
      <c r="R15" s="184">
        <f>IFERROR(O15-VLOOKUP(D15,'미니게임_DATA(순)'!$A:$FB,MATCH("rct 10g avg",'미니게임_DATA(순)'!$A$3:$FB$3,0),0),0)</f>
        <v>13.633333333333354</v>
      </c>
      <c r="S15" s="172" t="str">
        <f>VLOOKUP(D15,미니게임_DATA!$A:$BW,MATCH("성별",미니게임_DATA!$A$3:$BW$3,0),0)</f>
        <v>남</v>
      </c>
      <c r="T15" s="185">
        <f>MAX(  VLOOKUP(V15,'미니게임_DATA(순)'!$A$5:$EV$38,77,0),VLOOKUP(D15,'미니게임_DATA(순)'!$A$5:$EV$38,78,0), VLOOKUP(D15,'미니게임_DATA(순)'!$A$5:$EV$38,79,0))</f>
        <v>208</v>
      </c>
      <c r="U15" s="186">
        <f>VLOOKUP(V15,'미니게임_DATA(순)'!$A$5:$EW$38,84,0)</f>
        <v>147</v>
      </c>
      <c r="V15" s="187" t="str">
        <f t="shared" ref="V15:V33" si="2">D15</f>
        <v>천재복</v>
      </c>
    </row>
    <row r="16" spans="2:24">
      <c r="C16" s="562"/>
      <c r="D16" s="188" t="s">
        <v>10</v>
      </c>
      <c r="E16" s="181">
        <f>IFERROR(VLOOKUP($D$16,'미니게임_DATA(순)'!$A$5:$EV$38,77,0),0)</f>
        <v>197</v>
      </c>
      <c r="F16" s="564"/>
      <c r="G16" s="567"/>
      <c r="H16" s="181">
        <f>IFERROR(VLOOKUP(D16,'미니게임_DATA(순)'!$A$5:$EV$38,78,0),0)</f>
        <v>152</v>
      </c>
      <c r="I16" s="564"/>
      <c r="J16" s="567"/>
      <c r="K16" s="181">
        <f>IFERROR(VLOOKUP(D16,'미니게임_DATA(순)'!$A$5:$EV$38,79,0),0)</f>
        <v>139</v>
      </c>
      <c r="L16" s="564"/>
      <c r="M16" s="567"/>
      <c r="N16" s="182">
        <f t="shared" si="0"/>
        <v>488</v>
      </c>
      <c r="O16" s="189">
        <f t="shared" si="1"/>
        <v>162.66666666666666</v>
      </c>
      <c r="P16" s="580"/>
      <c r="Q16" s="587"/>
      <c r="R16" s="184">
        <f>IFERROR(O16-VLOOKUP(D16,'미니게임_DATA(순)'!$A:$FB,MATCH("rct 10g avg",'미니게임_DATA(순)'!$A$3:$FB$3,0),0),0)</f>
        <v>9.2666666666666515</v>
      </c>
      <c r="S16" s="172" t="str">
        <f>VLOOKUP(D16,미니게임_DATA!$A:$BW,MATCH("성별",미니게임_DATA!$A$3:$BW$3,0),0)</f>
        <v>남</v>
      </c>
      <c r="T16" s="185">
        <f>MAX(  VLOOKUP(V16,'미니게임_DATA(순)'!$A$5:$EV$38,77,0),VLOOKUP(D16,'미니게임_DATA(순)'!$A$5:$EV$38,78,0), VLOOKUP(D16,'미니게임_DATA(순)'!$A$5:$EV$38,79,0))</f>
        <v>197</v>
      </c>
      <c r="U16" s="186">
        <f>VLOOKUP(V16,'미니게임_DATA(순)'!$A$5:$EW$38,84,0)</f>
        <v>133</v>
      </c>
      <c r="V16" s="187" t="str">
        <f t="shared" si="2"/>
        <v>김신철</v>
      </c>
    </row>
    <row r="17" spans="3:23">
      <c r="C17" s="562"/>
      <c r="D17" s="191"/>
      <c r="E17" s="182"/>
      <c r="F17" s="564"/>
      <c r="G17" s="567"/>
      <c r="H17" s="182"/>
      <c r="I17" s="564"/>
      <c r="J17" s="567"/>
      <c r="K17" s="182"/>
      <c r="L17" s="564"/>
      <c r="M17" s="567"/>
      <c r="N17" s="182">
        <f t="shared" si="0"/>
        <v>0</v>
      </c>
      <c r="O17" s="189">
        <f t="shared" si="1"/>
        <v>0</v>
      </c>
      <c r="P17" s="580"/>
      <c r="Q17" s="587"/>
      <c r="R17" s="184">
        <f>IFERROR(O17-VLOOKUP(D17,'미니게임_DATA(순)'!$A:$FB,MATCH("rct 10g avg",'미니게임_DATA(순)'!$A$3:$FB$3,0),0),0)</f>
        <v>0</v>
      </c>
      <c r="T17" s="185"/>
      <c r="U17" s="186"/>
      <c r="V17" s="187"/>
    </row>
    <row r="18" spans="3:23">
      <c r="C18" s="192"/>
      <c r="D18" s="193"/>
      <c r="E18" s="194">
        <f>SUMIF(E14:E17, "&gt;0")</f>
        <v>549</v>
      </c>
      <c r="F18" s="565"/>
      <c r="G18" s="568"/>
      <c r="H18" s="194">
        <f>SUMIF(H14:H17, "&gt;0")</f>
        <v>517</v>
      </c>
      <c r="I18" s="565"/>
      <c r="J18" s="568"/>
      <c r="K18" s="194">
        <f>SUMIF(K14:K17, "&gt;0")</f>
        <v>436</v>
      </c>
      <c r="L18" s="565"/>
      <c r="M18" s="568"/>
      <c r="N18" s="194">
        <f t="shared" si="0"/>
        <v>1502</v>
      </c>
      <c r="O18" s="195"/>
      <c r="P18" s="581"/>
      <c r="Q18" s="588"/>
      <c r="R18" s="184">
        <f>IFERROR(O18-VLOOKUP(D18,'미니게임_DATA(순)'!$A:$FB,MATCH("rct 10g avg",'미니게임_DATA(순)'!$A$3:$FB$3,0),0),0)</f>
        <v>0</v>
      </c>
      <c r="S18" s="185">
        <f>N18</f>
        <v>1502</v>
      </c>
      <c r="T18" s="185">
        <f>MAX(E18,H18,K18)</f>
        <v>549</v>
      </c>
      <c r="U18" s="186"/>
      <c r="V18" s="187">
        <f t="shared" si="2"/>
        <v>0</v>
      </c>
      <c r="W18" s="187">
        <f>SUM(E18,H18)</f>
        <v>1066</v>
      </c>
    </row>
    <row r="19" spans="3:23">
      <c r="C19" s="561" t="s">
        <v>146</v>
      </c>
      <c r="D19" s="180" t="s">
        <v>38</v>
      </c>
      <c r="E19" s="181">
        <f>IFERROR(VLOOKUP(D19,'미니게임_DATA(순)'!$A$5:$EV$38,77,0),0)</f>
        <v>145</v>
      </c>
      <c r="F19" s="563">
        <f>RANK(E23,($E$18,$E$23,$E$28,$E$33,E$38))</f>
        <v>2</v>
      </c>
      <c r="G19" s="566">
        <f t="shared" ref="G19" si="3">F19</f>
        <v>2</v>
      </c>
      <c r="H19" s="181">
        <f>IFERROR(VLOOKUP(D19,'미니게임_DATA(순)'!$A$5:$EV$38,78,0),0)</f>
        <v>183</v>
      </c>
      <c r="I19" s="563">
        <f>RANK(H23,($H$18,$H$23,$H$28,$H$33,H$38))</f>
        <v>1</v>
      </c>
      <c r="J19" s="566">
        <f>RANK(W23,($W$18,$W$23,$W$28,$W$33,$W$38))</f>
        <v>2</v>
      </c>
      <c r="K19" s="181">
        <f>IFERROR(VLOOKUP(D19,'미니게임_DATA(순)'!$A$5:$EV$38,79,0),0)</f>
        <v>138</v>
      </c>
      <c r="L19" s="563">
        <f>RANK(K23,($K$18,$K$23,$K$28,$K$33,$K$38))</f>
        <v>1</v>
      </c>
      <c r="M19" s="566">
        <f t="shared" ref="M19" si="4">P19</f>
        <v>2</v>
      </c>
      <c r="N19" s="181">
        <f>E19+H19+K19</f>
        <v>466</v>
      </c>
      <c r="O19" s="183">
        <f>N19/3</f>
        <v>155.33333333333334</v>
      </c>
      <c r="P19" s="579">
        <f>RANK(N23,($N$18,$N$23,$N$28,$N$33,$N$38))</f>
        <v>2</v>
      </c>
      <c r="Q19" s="582">
        <f>MAX($N$18,$N$23,N$28,N$33,N$38)-N23</f>
        <v>3</v>
      </c>
      <c r="R19" s="184">
        <f>IFERROR(O19-VLOOKUP(D19,'미니게임_DATA(순)'!$A:$FB,MATCH("rct 10g avg",'미니게임_DATA(순)'!$A$3:$FB$3,0),0),0)</f>
        <v>-6.3666666666666458</v>
      </c>
      <c r="S19" s="172" t="str">
        <f>VLOOKUP(D19,미니게임_DATA!$A:$BW,MATCH("성별",미니게임_DATA!$A$3:$BW$3,0),0)</f>
        <v>남</v>
      </c>
      <c r="T19" s="185">
        <f>MAX(  VLOOKUP(V19,'미니게임_DATA(순)'!$A$5:$EV$38,77,0),VLOOKUP(D19,'미니게임_DATA(순)'!$A$5:$EV$38,78,0), VLOOKUP(D19,'미니게임_DATA(순)'!$A$5:$EV$38,79,0))</f>
        <v>183</v>
      </c>
      <c r="U19" s="186">
        <f>VLOOKUP(V19,'미니게임_DATA(순)'!$A$5:$EW$38,84,0)</f>
        <v>176</v>
      </c>
      <c r="V19" s="187" t="str">
        <f t="shared" si="2"/>
        <v>이수용</v>
      </c>
    </row>
    <row r="20" spans="3:23">
      <c r="C20" s="585"/>
      <c r="D20" s="197" t="s">
        <v>22</v>
      </c>
      <c r="E20" s="181">
        <f>IFERROR(VLOOKUP(D20,'미니게임_DATA(순)'!$A$5:$EV$38,77,0),0)</f>
        <v>182</v>
      </c>
      <c r="F20" s="564"/>
      <c r="G20" s="567"/>
      <c r="H20" s="181">
        <f>IFERROR(VLOOKUP(D20,'미니게임_DATA(순)'!$A$5:$EV$38,78,0),0)</f>
        <v>198</v>
      </c>
      <c r="I20" s="564"/>
      <c r="J20" s="567"/>
      <c r="K20" s="181">
        <f>IFERROR(VLOOKUP(D20,'미니게임_DATA(순)'!$A$5:$EV$38,79,0),0)</f>
        <v>173</v>
      </c>
      <c r="L20" s="564"/>
      <c r="M20" s="567"/>
      <c r="N20" s="182">
        <f t="shared" ref="N20:N22" si="5">E20+H20+K20</f>
        <v>553</v>
      </c>
      <c r="O20" s="189">
        <f t="shared" ref="O20:O22" si="6">N20/3</f>
        <v>184.33333333333334</v>
      </c>
      <c r="P20" s="580"/>
      <c r="Q20" s="583"/>
      <c r="R20" s="184">
        <f>IFERROR(O20-VLOOKUP(D20,'미니게임_DATA(순)'!$A:$FB,MATCH("rct 10g avg",'미니게임_DATA(순)'!$A$3:$FB$3,0),0),0)</f>
        <v>40.933333333333337</v>
      </c>
      <c r="S20" s="172" t="str">
        <f>VLOOKUP(D20,미니게임_DATA!$A:$BW,MATCH("성별",미니게임_DATA!$A$3:$BW$3,0),0)</f>
        <v>남</v>
      </c>
      <c r="T20" s="185">
        <f>MAX(  VLOOKUP(V20,'미니게임_DATA(순)'!$A$5:$EV$38,77,0),VLOOKUP(D20,'미니게임_DATA(순)'!$A$5:$EV$38,78,0), VLOOKUP(D20,'미니게임_DATA(순)'!$A$5:$EV$38,79,0))</f>
        <v>198</v>
      </c>
      <c r="U20" s="186">
        <f>VLOOKUP(V20,'미니게임_DATA(순)'!$A$5:$EW$38,84,0)</f>
        <v>152</v>
      </c>
      <c r="V20" s="187" t="str">
        <f t="shared" si="2"/>
        <v>이강은</v>
      </c>
    </row>
    <row r="21" spans="3:23">
      <c r="C21" s="562"/>
      <c r="D21" s="188" t="s">
        <v>268</v>
      </c>
      <c r="E21" s="181">
        <v>160</v>
      </c>
      <c r="F21" s="564"/>
      <c r="G21" s="567"/>
      <c r="H21" s="181">
        <v>160</v>
      </c>
      <c r="I21" s="564"/>
      <c r="J21" s="567"/>
      <c r="K21" s="181">
        <v>160</v>
      </c>
      <c r="L21" s="564"/>
      <c r="M21" s="567"/>
      <c r="N21" s="182">
        <f t="shared" si="5"/>
        <v>480</v>
      </c>
      <c r="O21" s="189">
        <f t="shared" si="6"/>
        <v>160</v>
      </c>
      <c r="P21" s="580"/>
      <c r="Q21" s="583"/>
      <c r="R21" s="184">
        <f>IFERROR(O21-VLOOKUP(D21,'미니게임_DATA(순)'!$A:$FB,MATCH("rct 10g avg",'미니게임_DATA(순)'!$A$3:$FB$3,0),0),0)</f>
        <v>0</v>
      </c>
      <c r="T21" s="185"/>
      <c r="U21" s="186"/>
      <c r="V21" s="187"/>
    </row>
    <row r="22" spans="3:23">
      <c r="C22" s="562"/>
      <c r="D22" s="188"/>
      <c r="E22" s="182"/>
      <c r="F22" s="564"/>
      <c r="G22" s="567"/>
      <c r="H22" s="182"/>
      <c r="I22" s="564"/>
      <c r="J22" s="567"/>
      <c r="K22" s="182"/>
      <c r="L22" s="564"/>
      <c r="M22" s="567"/>
      <c r="N22" s="182">
        <f t="shared" si="5"/>
        <v>0</v>
      </c>
      <c r="O22" s="189">
        <f t="shared" si="6"/>
        <v>0</v>
      </c>
      <c r="P22" s="580"/>
      <c r="Q22" s="583"/>
      <c r="R22" s="184">
        <f>IFERROR(O22-VLOOKUP(D22,'미니게임_DATA(순)'!$A:$FB,MATCH("rct 10g avg",'미니게임_DATA(순)'!$A$3:$FB$3,0),0),0)</f>
        <v>0</v>
      </c>
      <c r="T22" s="185"/>
      <c r="U22" s="186"/>
      <c r="V22" s="187"/>
    </row>
    <row r="23" spans="3:23">
      <c r="C23" s="192"/>
      <c r="D23" s="193"/>
      <c r="E23" s="194">
        <f t="shared" ref="E23" si="7">SUMIF(E19:E22, "&gt;0")</f>
        <v>487</v>
      </c>
      <c r="F23" s="565"/>
      <c r="G23" s="568"/>
      <c r="H23" s="194">
        <f t="shared" ref="H23" si="8">SUMIF(H19:H22, "&gt;0")</f>
        <v>541</v>
      </c>
      <c r="I23" s="565"/>
      <c r="J23" s="568"/>
      <c r="K23" s="194">
        <f>SUMIF(K19:K22, "&gt;0")</f>
        <v>471</v>
      </c>
      <c r="L23" s="565"/>
      <c r="M23" s="568"/>
      <c r="N23" s="194">
        <f>E23+H23+K23</f>
        <v>1499</v>
      </c>
      <c r="O23" s="195"/>
      <c r="P23" s="581"/>
      <c r="Q23" s="584"/>
      <c r="R23" s="184">
        <f>IFERROR(O23-VLOOKUP(D23,'미니게임_DATA(순)'!$A:$FB,MATCH("rct 10g avg",'미니게임_DATA(순)'!$A$3:$FB$3,0),0),0)</f>
        <v>0</v>
      </c>
      <c r="S23" s="185">
        <f>N23</f>
        <v>1499</v>
      </c>
      <c r="T23" s="185">
        <f>MAX(E23,H23,K23)</f>
        <v>541</v>
      </c>
      <c r="U23" s="186"/>
      <c r="V23" s="187">
        <f t="shared" si="2"/>
        <v>0</v>
      </c>
      <c r="W23" s="187">
        <f>SUM(E23,H23)</f>
        <v>1028</v>
      </c>
    </row>
    <row r="24" spans="3:23">
      <c r="C24" s="561" t="s">
        <v>147</v>
      </c>
      <c r="D24" s="180" t="s">
        <v>8</v>
      </c>
      <c r="E24" s="181">
        <f>IFERROR(VLOOKUP(D24,'미니게임_DATA(순)'!$A$5:$EV$38,77,0),0)</f>
        <v>181</v>
      </c>
      <c r="F24" s="563">
        <f>RANK(E28,($E$18,$E$23,$E$28,$E$33,E$38))</f>
        <v>4</v>
      </c>
      <c r="G24" s="566">
        <f t="shared" ref="G24" si="9">F24</f>
        <v>4</v>
      </c>
      <c r="H24" s="181">
        <f>IFERROR(VLOOKUP(D24,'미니게임_DATA(순)'!$A$5:$EV$38,78,0),0)</f>
        <v>176</v>
      </c>
      <c r="I24" s="563">
        <f>RANK(H28,($H$18,$H$23,$H$28,$H$33,H$38))</f>
        <v>4</v>
      </c>
      <c r="J24" s="566">
        <f>RANK(W28,($W$18,$W$23,$W$28,$W$33,$W$38))</f>
        <v>4</v>
      </c>
      <c r="K24" s="181">
        <f>IFERROR(VLOOKUP(D24,'미니게임_DATA(순)'!$A$5:$EV$38,79,0),0)</f>
        <v>189</v>
      </c>
      <c r="L24" s="563">
        <f>RANK(K28,($K$18,$K$23,$K$28,$K$33,$K$38))</f>
        <v>4</v>
      </c>
      <c r="M24" s="566">
        <f t="shared" ref="M24" si="10">P24</f>
        <v>4</v>
      </c>
      <c r="N24" s="181">
        <f>E24+H24+K24</f>
        <v>546</v>
      </c>
      <c r="O24" s="183">
        <f>N24/3</f>
        <v>182</v>
      </c>
      <c r="P24" s="579">
        <f>RANK(N28,($N$18,$N$23,$N$28,$N$33,$N$38))</f>
        <v>4</v>
      </c>
      <c r="Q24" s="582">
        <f>MAX($N$18,$N$23,N$28,N$33,N$38)-N28</f>
        <v>522</v>
      </c>
      <c r="R24" s="184">
        <f>IFERROR(O24-VLOOKUP(D24,'미니게임_DATA(순)'!$A:$FB,MATCH("rct 10g avg",'미니게임_DATA(순)'!$A$3:$FB$3,0),0),0)</f>
        <v>-3.3000000000000114</v>
      </c>
      <c r="S24" s="172" t="str">
        <f>VLOOKUP(D24,미니게임_DATA!$A:$BW,MATCH("성별",미니게임_DATA!$A$3:$BW$3,0),0)</f>
        <v>남</v>
      </c>
      <c r="T24" s="185">
        <f>MAX(  VLOOKUP(V24,'미니게임_DATA(순)'!$A$5:$EV$38,77,0),VLOOKUP(D24,'미니게임_DATA(순)'!$A$5:$EV$38,78,0), VLOOKUP(D24,'미니게임_DATA(순)'!$A$5:$EV$38,79,0))</f>
        <v>189</v>
      </c>
      <c r="U24" s="186">
        <f>VLOOKUP(V24,'미니게임_DATA(순)'!$A$5:$EW$38,84,0)</f>
        <v>210</v>
      </c>
      <c r="V24" s="187" t="str">
        <f t="shared" si="2"/>
        <v>조문수</v>
      </c>
    </row>
    <row r="25" spans="3:23">
      <c r="C25" s="562"/>
      <c r="D25" s="188" t="s">
        <v>41</v>
      </c>
      <c r="E25" s="181">
        <f>IFERROR(VLOOKUP(D25,'미니게임_DATA(순)'!$A$5:$EV$38,77,0),0)</f>
        <v>0</v>
      </c>
      <c r="F25" s="564"/>
      <c r="G25" s="567"/>
      <c r="H25" s="181">
        <f>IFERROR(VLOOKUP(D25,'미니게임_DATA(순)'!$A$5:$EV$38,78,0),0)</f>
        <v>0</v>
      </c>
      <c r="I25" s="564"/>
      <c r="J25" s="567"/>
      <c r="K25" s="181">
        <f>IFERROR(VLOOKUP(D25,'미니게임_DATA(순)'!$A$5:$EV$38,79,0),0)</f>
        <v>0</v>
      </c>
      <c r="L25" s="564"/>
      <c r="M25" s="567"/>
      <c r="N25" s="182">
        <f t="shared" ref="N25:N28" si="11">E25+H25+K25</f>
        <v>0</v>
      </c>
      <c r="O25" s="189">
        <f t="shared" ref="O25:O27" si="12">N25/3</f>
        <v>0</v>
      </c>
      <c r="P25" s="580"/>
      <c r="Q25" s="583"/>
      <c r="R25" s="184">
        <f>IFERROR(O25-VLOOKUP(D25,'미니게임_DATA(순)'!$A:$FB,MATCH("rct 10g avg",'미니게임_DATA(순)'!$A$3:$FB$3,0),0),0)</f>
        <v>-152.30000000000001</v>
      </c>
      <c r="S25" s="172" t="str">
        <f>VLOOKUP(D25,미니게임_DATA!$A:$BW,MATCH("성별",미니게임_DATA!$A$3:$BW$3,0),0)</f>
        <v>남</v>
      </c>
      <c r="T25" s="185" t="e">
        <f>MAX(  VLOOKUP(V25,'미니게임_DATA(순)'!$A$5:$EV$38,77,0),VLOOKUP(D25,'미니게임_DATA(순)'!$A$5:$EV$38,78,0), VLOOKUP(D25,'미니게임_DATA(순)'!$A$5:$EV$38,79,0))</f>
        <v>#N/A</v>
      </c>
      <c r="U25" s="186" t="e">
        <f>VLOOKUP(V25,'미니게임_DATA(순)'!$A$5:$EW$38,84,0)</f>
        <v>#N/A</v>
      </c>
      <c r="V25" s="187" t="str">
        <f t="shared" si="2"/>
        <v>조헌우</v>
      </c>
    </row>
    <row r="26" spans="3:23">
      <c r="C26" s="562"/>
      <c r="D26" s="188" t="s">
        <v>11</v>
      </c>
      <c r="E26" s="181">
        <f>IFERROR(VLOOKUP(D26,'미니게임_DATA(순)'!$A$5:$EV$38,77,0),0)</f>
        <v>136</v>
      </c>
      <c r="F26" s="564"/>
      <c r="G26" s="567"/>
      <c r="H26" s="181">
        <f>IFERROR(VLOOKUP(D26,'미니게임_DATA(순)'!$A$5:$EV$38,78,0),0)</f>
        <v>157</v>
      </c>
      <c r="I26" s="564"/>
      <c r="J26" s="567"/>
      <c r="K26" s="181">
        <f>IFERROR(VLOOKUP(D26,'미니게임_DATA(순)'!$A$5:$EV$38,79,0),0)</f>
        <v>141</v>
      </c>
      <c r="L26" s="564"/>
      <c r="M26" s="567"/>
      <c r="N26" s="182">
        <f t="shared" si="11"/>
        <v>434</v>
      </c>
      <c r="O26" s="189">
        <f t="shared" si="12"/>
        <v>144.66666666666666</v>
      </c>
      <c r="P26" s="580"/>
      <c r="Q26" s="583"/>
      <c r="R26" s="184">
        <f>IFERROR(O26-VLOOKUP(D26,'미니게임_DATA(순)'!$A:$FB,MATCH("rct 10g avg",'미니게임_DATA(순)'!$A$3:$FB$3,0),0),0)</f>
        <v>-13.433333333333337</v>
      </c>
      <c r="S26" s="172" t="str">
        <f>VLOOKUP(D26,미니게임_DATA!$A:$BW,MATCH("성별",미니게임_DATA!$A$3:$BW$3,0),0)</f>
        <v>남</v>
      </c>
      <c r="T26" s="185">
        <f>MAX(  VLOOKUP(V26,'미니게임_DATA(순)'!$A$5:$EV$38,77,0),VLOOKUP(D26,'미니게임_DATA(순)'!$A$5:$EV$38,78,0), VLOOKUP(D26,'미니게임_DATA(순)'!$A$5:$EV$38,79,0))</f>
        <v>157</v>
      </c>
      <c r="U26" s="186">
        <f>VLOOKUP(V26,'미니게임_DATA(순)'!$A$5:$EW$38,84,0)</f>
        <v>149</v>
      </c>
      <c r="V26" s="187" t="str">
        <f t="shared" si="2"/>
        <v>박용승</v>
      </c>
    </row>
    <row r="27" spans="3:23">
      <c r="C27" s="562"/>
      <c r="D27" s="188"/>
      <c r="E27" s="182">
        <f>IFERROR(VLOOKUP(D27,미니게임_DATA!$A:$GT,6,0),0)</f>
        <v>0</v>
      </c>
      <c r="F27" s="564"/>
      <c r="G27" s="567"/>
      <c r="H27" s="182">
        <f>IFERROR(VLOOKUP(D27,미니게임_DATA!$A:$GT,7,0),0)</f>
        <v>0</v>
      </c>
      <c r="I27" s="564"/>
      <c r="J27" s="567"/>
      <c r="K27" s="182">
        <f>IFERROR(VLOOKUP(D27,미니게임_DATA!$A:$GT,8,0),0)</f>
        <v>0</v>
      </c>
      <c r="L27" s="564"/>
      <c r="M27" s="567"/>
      <c r="N27" s="182">
        <f t="shared" si="11"/>
        <v>0</v>
      </c>
      <c r="O27" s="189">
        <f t="shared" si="12"/>
        <v>0</v>
      </c>
      <c r="P27" s="580"/>
      <c r="Q27" s="583"/>
      <c r="R27" s="184">
        <f>IFERROR(O27-VLOOKUP(D27,'미니게임_DATA(순)'!$A:$FB,MATCH("rct 10g avg",'미니게임_DATA(순)'!$A$3:$FB$3,0),0),0)</f>
        <v>0</v>
      </c>
      <c r="T27" s="185"/>
      <c r="U27" s="186"/>
      <c r="V27" s="187"/>
    </row>
    <row r="28" spans="3:23">
      <c r="C28" s="192"/>
      <c r="D28" s="193"/>
      <c r="E28" s="194">
        <f>SUMIF(E24:E27, "&gt;0")</f>
        <v>317</v>
      </c>
      <c r="F28" s="565"/>
      <c r="G28" s="568"/>
      <c r="H28" s="194">
        <f>SUMIF(H24:H27, "&gt;0")</f>
        <v>333</v>
      </c>
      <c r="I28" s="565"/>
      <c r="J28" s="568"/>
      <c r="K28" s="194">
        <f>SUMIF(K24:K27, "&gt;0")</f>
        <v>330</v>
      </c>
      <c r="L28" s="565"/>
      <c r="M28" s="568"/>
      <c r="N28" s="194">
        <f t="shared" si="11"/>
        <v>980</v>
      </c>
      <c r="O28" s="195"/>
      <c r="P28" s="581"/>
      <c r="Q28" s="584"/>
      <c r="R28" s="184">
        <f>IFERROR(O28-VLOOKUP(D28,'미니게임_DATA(순)'!$A:$FB,MATCH("rct 10g avg",'미니게임_DATA(순)'!$A$3:$FB$3,0),0),0)</f>
        <v>0</v>
      </c>
      <c r="S28" s="185">
        <f>N28</f>
        <v>980</v>
      </c>
      <c r="T28" s="185">
        <f>MAX(E28,H28,K28)</f>
        <v>333</v>
      </c>
      <c r="U28" s="186"/>
      <c r="V28" s="187">
        <f t="shared" si="2"/>
        <v>0</v>
      </c>
      <c r="W28" s="187">
        <f>SUM(E28,H28)</f>
        <v>650</v>
      </c>
    </row>
    <row r="29" spans="3:23">
      <c r="C29" s="561" t="s">
        <v>148</v>
      </c>
      <c r="D29" s="180" t="s">
        <v>17</v>
      </c>
      <c r="E29" s="181">
        <f>IFERROR(VLOOKUP(D29,'미니게임_DATA(순)'!$A$5:$EV$38,77,0),0)</f>
        <v>115</v>
      </c>
      <c r="F29" s="563">
        <f>RANK(E33,($E$18,$E$23,$E$28,$E$33,$E$38))</f>
        <v>3</v>
      </c>
      <c r="G29" s="566">
        <f t="shared" ref="G29" si="13">F29</f>
        <v>3</v>
      </c>
      <c r="H29" s="181">
        <f>IFERROR(VLOOKUP(D29,'미니게임_DATA(순)'!$A$5:$EV$38,78,0),0)</f>
        <v>131</v>
      </c>
      <c r="I29" s="563">
        <f>RANK(H33,($H$18,$H$23,$H$28,$H$33,H$38))</f>
        <v>3</v>
      </c>
      <c r="J29" s="566">
        <f>RANK(W33,($W$18,$W$23,$W$28,$W$33,$W$38))</f>
        <v>3</v>
      </c>
      <c r="K29" s="181">
        <f>IFERROR(VLOOKUP(D29,'미니게임_DATA(순)'!$A$5:$EV$38,79,0),0)</f>
        <v>138</v>
      </c>
      <c r="L29" s="563">
        <f>RANK(K33,($K$18,$K$23,$K$28,$K$33,$K$38))</f>
        <v>2</v>
      </c>
      <c r="M29" s="566">
        <f t="shared" ref="M29" si="14">P29</f>
        <v>3</v>
      </c>
      <c r="N29" s="181">
        <f>E29+H29+K29</f>
        <v>384</v>
      </c>
      <c r="O29" s="183">
        <f>N29/3</f>
        <v>128</v>
      </c>
      <c r="P29" s="579">
        <f>RANK(N33,($N$18,$N$23,$N$28,$N$33,$N$38))</f>
        <v>3</v>
      </c>
      <c r="Q29" s="582">
        <f>MAX($N$18,$N$23,N$28,N$33,N$38)-N33</f>
        <v>210</v>
      </c>
      <c r="R29" s="184">
        <f>IFERROR(O29-VLOOKUP(D29,'미니게임_DATA(순)'!$A:$FB,MATCH("rct 10g avg",'미니게임_DATA(순)'!$A$3:$FB$3,0),0),0)</f>
        <v>-19.099999999999994</v>
      </c>
      <c r="S29" s="172" t="str">
        <f>VLOOKUP(D29,미니게임_DATA!$A:$BW,MATCH("성별",미니게임_DATA!$A$3:$BW$3,0),0)</f>
        <v>남</v>
      </c>
      <c r="T29" s="185">
        <f>MAX(  VLOOKUP(V29,'미니게임_DATA(순)'!$A$5:$EV$38,77,0),VLOOKUP(D29,'미니게임_DATA(순)'!$A$5:$EV$38,78,0), VLOOKUP(D29,'미니게임_DATA(순)'!$A$5:$EV$38,9,0))</f>
        <v>131</v>
      </c>
      <c r="U29" s="186">
        <f>VLOOKUP(V29,'미니게임_DATA(순)'!$A$5:$EW$38,84,0)</f>
        <v>0</v>
      </c>
      <c r="V29" s="187" t="str">
        <f t="shared" si="2"/>
        <v>한희용</v>
      </c>
    </row>
    <row r="30" spans="3:23">
      <c r="C30" s="585"/>
      <c r="D30" s="197" t="s">
        <v>24</v>
      </c>
      <c r="E30" s="181">
        <f>IFERROR(VLOOKUP(D30,'미니게임_DATA(순)'!$A$5:$EV$38,77,0),0)</f>
        <v>187</v>
      </c>
      <c r="F30" s="564"/>
      <c r="G30" s="567"/>
      <c r="H30" s="181">
        <f>IFERROR(VLOOKUP(D30,'미니게임_DATA(순)'!$A$5:$EV$38,78,0),0)</f>
        <v>102</v>
      </c>
      <c r="I30" s="564"/>
      <c r="J30" s="567"/>
      <c r="K30" s="181">
        <f>IFERROR(VLOOKUP(D30,'미니게임_DATA(순)'!$A$5:$EV$38,79,0),0)</f>
        <v>139</v>
      </c>
      <c r="L30" s="564"/>
      <c r="M30" s="567"/>
      <c r="N30" s="182">
        <f t="shared" ref="N30:N33" si="15">E30+H30+K30</f>
        <v>428</v>
      </c>
      <c r="O30" s="189">
        <f t="shared" ref="O30:O32" si="16">N30/3</f>
        <v>142.66666666666666</v>
      </c>
      <c r="P30" s="580"/>
      <c r="Q30" s="583"/>
      <c r="R30" s="184">
        <f>IFERROR(O30-VLOOKUP(D30,'미니게임_DATA(순)'!$A:$FB,MATCH("rct 10g avg",'미니게임_DATA(순)'!$A$3:$FB$3,0),0),0)</f>
        <v>-16.133333333333354</v>
      </c>
      <c r="S30" s="172" t="s">
        <v>156</v>
      </c>
      <c r="T30" s="185">
        <f>MAX(  VLOOKUP(V30,'미니게임_DATA(순)'!$A$5:$EV$38,77,0),VLOOKUP(D30,'미니게임_DATA(순)'!$A$5:$EV$38,78,0), VLOOKUP(D30,'미니게임_DATA(순)'!$A$5:$EV$38,9,0))</f>
        <v>202</v>
      </c>
      <c r="U30" s="186">
        <f>VLOOKUP(V30,'미니게임_DATA(순)'!$A$5:$EW$38,84,0)</f>
        <v>0</v>
      </c>
      <c r="V30" s="187" t="str">
        <f t="shared" si="2"/>
        <v>김기선</v>
      </c>
    </row>
    <row r="31" spans="3:23">
      <c r="C31" s="562"/>
      <c r="D31" s="188" t="s">
        <v>269</v>
      </c>
      <c r="E31" s="181">
        <v>160</v>
      </c>
      <c r="F31" s="564"/>
      <c r="G31" s="567"/>
      <c r="H31" s="181">
        <v>160</v>
      </c>
      <c r="I31" s="564"/>
      <c r="J31" s="567"/>
      <c r="K31" s="181">
        <v>160</v>
      </c>
      <c r="L31" s="564"/>
      <c r="M31" s="567"/>
      <c r="N31" s="182">
        <f t="shared" si="15"/>
        <v>480</v>
      </c>
      <c r="O31" s="189">
        <f t="shared" si="16"/>
        <v>160</v>
      </c>
      <c r="P31" s="580"/>
      <c r="Q31" s="583"/>
      <c r="R31" s="184">
        <f>IFERROR(O31-VLOOKUP(D31,'미니게임_DATA(순)'!$A:$FB,MATCH("rct 10g avg",'미니게임_DATA(순)'!$A$3:$FB$3,0),0),0)</f>
        <v>0</v>
      </c>
      <c r="T31" s="185"/>
      <c r="U31" s="186"/>
      <c r="V31" s="187"/>
    </row>
    <row r="32" spans="3:23">
      <c r="C32" s="562"/>
      <c r="D32" s="188"/>
      <c r="E32" s="182"/>
      <c r="F32" s="564"/>
      <c r="G32" s="567"/>
      <c r="H32" s="182"/>
      <c r="I32" s="564"/>
      <c r="J32" s="567"/>
      <c r="K32" s="181">
        <f>IFERROR(VLOOKUP(D32,'미니게임_DATA(순)'!$A$5:$BU$38,73,0),0)</f>
        <v>0</v>
      </c>
      <c r="L32" s="564"/>
      <c r="M32" s="567"/>
      <c r="N32" s="182">
        <f t="shared" si="15"/>
        <v>0</v>
      </c>
      <c r="O32" s="189">
        <f t="shared" si="16"/>
        <v>0</v>
      </c>
      <c r="P32" s="580"/>
      <c r="Q32" s="583"/>
      <c r="R32" s="184">
        <f>IFERROR(O32-VLOOKUP(D32,'미니게임_DATA(순)'!$A:$FB,MATCH("rct 10g avg",'미니게임_DATA(순)'!$A$3:$FB$3,0),0),0)</f>
        <v>0</v>
      </c>
      <c r="T32" s="185"/>
      <c r="U32" s="186"/>
      <c r="V32" s="187"/>
    </row>
    <row r="33" spans="2:24">
      <c r="C33" s="192"/>
      <c r="D33" s="193"/>
      <c r="E33" s="194">
        <f t="shared" ref="E33" si="17">SUMIF(E29:E32, "&gt;0")</f>
        <v>462</v>
      </c>
      <c r="F33" s="565"/>
      <c r="G33" s="568"/>
      <c r="H33" s="194">
        <f t="shared" ref="H33" si="18">SUMIF(H29:H32, "&gt;0")</f>
        <v>393</v>
      </c>
      <c r="I33" s="565"/>
      <c r="J33" s="568"/>
      <c r="K33" s="194">
        <f>SUMIF(K29:K32, "&gt;0")</f>
        <v>437</v>
      </c>
      <c r="L33" s="565"/>
      <c r="M33" s="568"/>
      <c r="N33" s="194">
        <f t="shared" si="15"/>
        <v>1292</v>
      </c>
      <c r="O33" s="195"/>
      <c r="P33" s="581"/>
      <c r="Q33" s="584"/>
      <c r="R33" s="184">
        <f>IFERROR(O33-VLOOKUP(D33,'미니게임_DATA(순)'!$A:$FB,MATCH("rct 10g avg",'미니게임_DATA(순)'!$A$3:$FB$3,0),0),0)</f>
        <v>0</v>
      </c>
      <c r="S33" s="185">
        <f>N33</f>
        <v>1292</v>
      </c>
      <c r="T33" s="185">
        <f>MAX(E33,H33,K33)</f>
        <v>462</v>
      </c>
      <c r="U33" s="186"/>
      <c r="V33" s="187">
        <f t="shared" si="2"/>
        <v>0</v>
      </c>
      <c r="W33" s="187">
        <f>SUM(E33,H33)</f>
        <v>855</v>
      </c>
    </row>
    <row r="34" spans="2:24">
      <c r="C34" s="561" t="s">
        <v>149</v>
      </c>
      <c r="D34" s="180" t="s">
        <v>37</v>
      </c>
      <c r="E34" s="181">
        <f>IFERROR(VLOOKUP(D34,'미니게임_DATA(순)'!$A$5:$EV$38,77,0),0)</f>
        <v>0</v>
      </c>
      <c r="F34" s="563">
        <f>RANK(E38,($E$18,$E$23,$E$28,E$33,E$38))</f>
        <v>5</v>
      </c>
      <c r="G34" s="566">
        <f t="shared" ref="G34" si="19">F34</f>
        <v>5</v>
      </c>
      <c r="H34" s="181">
        <f>IFERROR(VLOOKUP(D34,'미니게임_DATA(순)'!$A$5:$EV$38,78,0),0)</f>
        <v>0</v>
      </c>
      <c r="I34" s="563">
        <f>RANK(H38,($H$18,$H$23,$H$28,$H$33,H$38))</f>
        <v>5</v>
      </c>
      <c r="J34" s="566">
        <f>RANK(W38,($W$18,$W$23,$W$28,$W$33,$W$38))</f>
        <v>5</v>
      </c>
      <c r="K34" s="181">
        <f>IFERROR(VLOOKUP(D34,'미니게임_DATA(순)'!$A$5:$EV$38,79,0),0)</f>
        <v>0</v>
      </c>
      <c r="L34" s="563">
        <f>RANK(K38,($K$18,$K$23,$K$28,$K$33,$K$38))</f>
        <v>5</v>
      </c>
      <c r="M34" s="566">
        <f t="shared" ref="M34" si="20">P34</f>
        <v>5</v>
      </c>
      <c r="N34" s="181">
        <f>E34+H34+K34</f>
        <v>0</v>
      </c>
      <c r="O34" s="183">
        <f>N34/3</f>
        <v>0</v>
      </c>
      <c r="P34" s="579">
        <f>RANK(N38,($N$18,$N$23,$N$28,$N$33,$N$38))</f>
        <v>5</v>
      </c>
      <c r="Q34" s="582">
        <f>MAX($N$18,$N$23,N$28,N$33,N$38)-N38</f>
        <v>652</v>
      </c>
      <c r="R34" s="184">
        <f>IFERROR(O34-VLOOKUP(D34,'미니게임_DATA(순)'!$A:$FB,MATCH("rct 10g avg",'미니게임_DATA(순)'!$A$3:$FB$3,0),0),0)</f>
        <v>-166.4</v>
      </c>
      <c r="S34" s="172" t="str">
        <f>VLOOKUP(D34,미니게임_DATA!$A:$BW,MATCH("성별",미니게임_DATA!$A$3:$BW$3,0),0)</f>
        <v>남</v>
      </c>
      <c r="T34" s="185" t="e">
        <f>MAX(  VLOOKUP(V34,'미니게임_DATA(순)'!$A$5:$EV$38,77,0),VLOOKUP(D34,'미니게임_DATA(순)'!$A$5:$EV$38,78,0), VLOOKUP(D34,'미니게임_DATA(순)'!$A$5:$EV$38,9,0))</f>
        <v>#N/A</v>
      </c>
      <c r="U34" s="186" t="e">
        <f>VLOOKUP(V34,'미니게임_DATA(순)'!$A$5:$EW$38,84,0)</f>
        <v>#N/A</v>
      </c>
      <c r="V34" s="187" t="str">
        <f t="shared" ref="V34:V36" si="21">D34</f>
        <v>최은규</v>
      </c>
    </row>
    <row r="35" spans="2:24" s="172" customFormat="1">
      <c r="B35" s="169"/>
      <c r="C35" s="585"/>
      <c r="D35" s="197" t="s">
        <v>16</v>
      </c>
      <c r="E35" s="181">
        <f>IFERROR(VLOOKUP(D35,'미니게임_DATA(순)'!$A$5:$EV$38,77,0),0)</f>
        <v>135</v>
      </c>
      <c r="F35" s="564"/>
      <c r="G35" s="567"/>
      <c r="H35" s="181">
        <f>IFERROR(VLOOKUP(D35,'미니게임_DATA(순)'!$A$5:$EV$38,78,0),0)</f>
        <v>134</v>
      </c>
      <c r="I35" s="564"/>
      <c r="J35" s="567"/>
      <c r="K35" s="181">
        <f>IFERROR(VLOOKUP(D35,'미니게임_DATA(순)'!$A$5:$EV$38,79,0),0)</f>
        <v>161</v>
      </c>
      <c r="L35" s="564"/>
      <c r="M35" s="567"/>
      <c r="N35" s="182">
        <f t="shared" ref="N35:N38" si="22">E35+H35+K35</f>
        <v>430</v>
      </c>
      <c r="O35" s="189">
        <f t="shared" ref="O35:O37" si="23">N35/3</f>
        <v>143.33333333333334</v>
      </c>
      <c r="P35" s="580"/>
      <c r="Q35" s="583"/>
      <c r="R35" s="184">
        <f>IFERROR(O35-VLOOKUP(D35,'미니게임_DATA(순)'!$A:$FB,MATCH("rct 10g avg",'미니게임_DATA(순)'!$A$3:$FB$3,0),0),0)</f>
        <v>-13.366666666666646</v>
      </c>
      <c r="S35" s="172" t="s">
        <v>156</v>
      </c>
      <c r="T35" s="185">
        <f>MAX(  VLOOKUP(V35,'미니게임_DATA(순)'!$A$5:$EV$38,77,0),VLOOKUP(D35,'미니게임_DATA(순)'!$A$5:$EV$38,78,0), VLOOKUP(D35,'미니게임_DATA(순)'!$A$5:$EV$38,9,0))</f>
        <v>135</v>
      </c>
      <c r="U35" s="186">
        <f>VLOOKUP(V35,'미니게임_DATA(순)'!$A$5:$EW$38,84,0)</f>
        <v>0</v>
      </c>
      <c r="V35" s="187" t="str">
        <f t="shared" si="21"/>
        <v>전병기</v>
      </c>
      <c r="W35" s="169"/>
      <c r="X35" s="169"/>
    </row>
    <row r="36" spans="2:24" s="172" customFormat="1">
      <c r="B36" s="169"/>
      <c r="C36" s="562"/>
      <c r="D36" s="188" t="s">
        <v>12</v>
      </c>
      <c r="E36" s="181">
        <f>IFERROR(VLOOKUP(D36,'미니게임_DATA(순)'!$A$5:$EV$38,77,0),0)</f>
        <v>149</v>
      </c>
      <c r="F36" s="564"/>
      <c r="G36" s="567"/>
      <c r="H36" s="181">
        <f>IFERROR(VLOOKUP(D36,'미니게임_DATA(순)'!$A$5:$EV$38,78,0),0)</f>
        <v>144</v>
      </c>
      <c r="I36" s="564"/>
      <c r="J36" s="567"/>
      <c r="K36" s="181">
        <f>IFERROR(VLOOKUP(D36,'미니게임_DATA(순)'!$A$5:$EV$38,79,0),0)</f>
        <v>127</v>
      </c>
      <c r="L36" s="564"/>
      <c r="M36" s="567"/>
      <c r="N36" s="182">
        <f t="shared" si="22"/>
        <v>420</v>
      </c>
      <c r="O36" s="189">
        <f t="shared" si="23"/>
        <v>140</v>
      </c>
      <c r="P36" s="580"/>
      <c r="Q36" s="583"/>
      <c r="R36" s="184">
        <f>IFERROR(O36-VLOOKUP(D36,'미니게임_DATA(순)'!$A:$FB,MATCH("rct 10g avg",'미니게임_DATA(순)'!$A$3:$FB$3,0),0),0)</f>
        <v>2.5999999999999943</v>
      </c>
      <c r="S36" s="172" t="str">
        <f>VLOOKUP(D36,미니게임_DATA!$A:$BW,MATCH("성별",미니게임_DATA!$A$3:$BW$3,0),0)</f>
        <v>여</v>
      </c>
      <c r="T36" s="185">
        <f>MAX(  VLOOKUP(V36,'미니게임_DATA(순)'!$A$5:$EV$38,77,0),VLOOKUP(D36,'미니게임_DATA(순)'!$A$5:$EV$38,78,0), VLOOKUP(D36,'미니게임_DATA(순)'!$A$5:$EV$38,9,0))</f>
        <v>149</v>
      </c>
      <c r="U36" s="186">
        <f>VLOOKUP(V36,'미니게임_DATA(순)'!$A$5:$EW$38,84,0)</f>
        <v>124</v>
      </c>
      <c r="V36" s="187" t="str">
        <f t="shared" si="21"/>
        <v>성소라</v>
      </c>
      <c r="W36" s="169"/>
      <c r="X36" s="169"/>
    </row>
    <row r="37" spans="2:24">
      <c r="C37" s="562"/>
      <c r="D37" s="188"/>
      <c r="E37" s="182"/>
      <c r="F37" s="564"/>
      <c r="G37" s="567"/>
      <c r="H37" s="182"/>
      <c r="I37" s="564"/>
      <c r="J37" s="567"/>
      <c r="K37" s="181">
        <f>IFERROR(VLOOKUP(D37,'미니게임_DATA(순)'!$A$5:$BU$38,73,0),0)</f>
        <v>0</v>
      </c>
      <c r="L37" s="564"/>
      <c r="M37" s="567"/>
      <c r="N37" s="182">
        <f t="shared" si="22"/>
        <v>0</v>
      </c>
      <c r="O37" s="189">
        <f t="shared" si="23"/>
        <v>0</v>
      </c>
      <c r="P37" s="580"/>
      <c r="Q37" s="583"/>
      <c r="R37" s="184">
        <f>IFERROR(O37-VLOOKUP(D37,'미니게임_DATA(순)'!$A:$FB,MATCH("rct 10g avg",'미니게임_DATA(순)'!$A$3:$FB$3,0),0),0)</f>
        <v>0</v>
      </c>
      <c r="T37" s="185"/>
      <c r="U37" s="186"/>
      <c r="V37" s="187"/>
    </row>
    <row r="38" spans="2:24">
      <c r="C38" s="192"/>
      <c r="D38" s="193"/>
      <c r="E38" s="194">
        <f t="shared" ref="E38" si="24">SUMIF(E34:E37, "&gt;0")</f>
        <v>284</v>
      </c>
      <c r="F38" s="565"/>
      <c r="G38" s="568"/>
      <c r="H38" s="194">
        <f t="shared" ref="H38" si="25">SUMIF(H34:H37, "&gt;0")</f>
        <v>278</v>
      </c>
      <c r="I38" s="565"/>
      <c r="J38" s="568"/>
      <c r="K38" s="194">
        <f>SUMIF(K34:K37, "&gt;0")</f>
        <v>288</v>
      </c>
      <c r="L38" s="565"/>
      <c r="M38" s="568"/>
      <c r="N38" s="194">
        <f t="shared" si="22"/>
        <v>850</v>
      </c>
      <c r="O38" s="195"/>
      <c r="P38" s="581"/>
      <c r="Q38" s="584"/>
      <c r="R38" s="184">
        <f>IFERROR(O38-VLOOKUP(D38,'미니게임_DATA(순)'!$A:$FB,MATCH("rct 10g avg",'미니게임_DATA(순)'!$A$3:$FB$3,0),0),0)</f>
        <v>0</v>
      </c>
      <c r="S38" s="185">
        <f>N38</f>
        <v>850</v>
      </c>
      <c r="T38" s="185">
        <f>MAX(E38,H38,K38)</f>
        <v>288</v>
      </c>
      <c r="U38" s="186"/>
      <c r="V38" s="187">
        <f t="shared" ref="V38" si="26">D38</f>
        <v>0</v>
      </c>
      <c r="W38" s="187">
        <f>SUM(E38,H38)</f>
        <v>562</v>
      </c>
    </row>
  </sheetData>
  <mergeCells count="62">
    <mergeCell ref="B2:B3"/>
    <mergeCell ref="B4:B5"/>
    <mergeCell ref="B6:B9"/>
    <mergeCell ref="D6:E6"/>
    <mergeCell ref="D7:E7"/>
    <mergeCell ref="D8:E8"/>
    <mergeCell ref="D9:E9"/>
    <mergeCell ref="R11:R13"/>
    <mergeCell ref="E12:G12"/>
    <mergeCell ref="H12:J12"/>
    <mergeCell ref="K12:M12"/>
    <mergeCell ref="C14:C17"/>
    <mergeCell ref="F14:F18"/>
    <mergeCell ref="G14:G18"/>
    <mergeCell ref="I14:I18"/>
    <mergeCell ref="J14:J18"/>
    <mergeCell ref="L14:L18"/>
    <mergeCell ref="C11:C13"/>
    <mergeCell ref="D11:D13"/>
    <mergeCell ref="E11:K11"/>
    <mergeCell ref="N11:N13"/>
    <mergeCell ref="O11:O13"/>
    <mergeCell ref="P11:Q12"/>
    <mergeCell ref="P24:P28"/>
    <mergeCell ref="Q24:Q28"/>
    <mergeCell ref="C19:C22"/>
    <mergeCell ref="F19:F23"/>
    <mergeCell ref="G19:G23"/>
    <mergeCell ref="I19:I23"/>
    <mergeCell ref="J19:J23"/>
    <mergeCell ref="M14:M18"/>
    <mergeCell ref="P14:P18"/>
    <mergeCell ref="Q14:Q18"/>
    <mergeCell ref="L19:L23"/>
    <mergeCell ref="M19:M23"/>
    <mergeCell ref="P19:P23"/>
    <mergeCell ref="Q19:Q23"/>
    <mergeCell ref="L29:L33"/>
    <mergeCell ref="M29:M33"/>
    <mergeCell ref="P29:P33"/>
    <mergeCell ref="Q29:Q33"/>
    <mergeCell ref="C24:C27"/>
    <mergeCell ref="F24:F28"/>
    <mergeCell ref="G24:G28"/>
    <mergeCell ref="C29:C32"/>
    <mergeCell ref="F29:F33"/>
    <mergeCell ref="G29:G33"/>
    <mergeCell ref="I29:I33"/>
    <mergeCell ref="J29:J33"/>
    <mergeCell ref="I24:I28"/>
    <mergeCell ref="J24:J28"/>
    <mergeCell ref="L24:L28"/>
    <mergeCell ref="M24:M28"/>
    <mergeCell ref="M34:M38"/>
    <mergeCell ref="P34:P38"/>
    <mergeCell ref="Q34:Q38"/>
    <mergeCell ref="C34:C37"/>
    <mergeCell ref="F34:F38"/>
    <mergeCell ref="G34:G38"/>
    <mergeCell ref="I34:I38"/>
    <mergeCell ref="J34:J38"/>
    <mergeCell ref="L34:L38"/>
  </mergeCells>
  <phoneticPr fontId="2" type="noConversion"/>
  <conditionalFormatting sqref="F39:G1048576 F1:G13 I1:J13 L1:M13 L39:M1048576 I39:J1048576">
    <cfRule type="cellIs" dxfId="86" priority="9" operator="equal">
      <formula>1</formula>
    </cfRule>
  </conditionalFormatting>
  <conditionalFormatting sqref="M14:M33">
    <cfRule type="cellIs" dxfId="85" priority="7" operator="equal">
      <formula>1</formula>
    </cfRule>
  </conditionalFormatting>
  <conditionalFormatting sqref="F14:G14 F19:G19 G15:G18 G30:G33 F29:G29 G25:G28 F24:G24 G20:G23">
    <cfRule type="cellIs" dxfId="84" priority="8" operator="equal">
      <formula>1</formula>
    </cfRule>
  </conditionalFormatting>
  <conditionalFormatting sqref="I14:J14 I19 I29 I24 J15:J33">
    <cfRule type="cellIs" dxfId="83" priority="6" operator="equal">
      <formula>1</formula>
    </cfRule>
  </conditionalFormatting>
  <conditionalFormatting sqref="L14 L19 L29 L24">
    <cfRule type="cellIs" dxfId="82" priority="5" operator="equal">
      <formula>1</formula>
    </cfRule>
  </conditionalFormatting>
  <conditionalFormatting sqref="M34:M38">
    <cfRule type="cellIs" dxfId="81" priority="3" operator="equal">
      <formula>1</formula>
    </cfRule>
  </conditionalFormatting>
  <conditionalFormatting sqref="G35:G38 F34:G34">
    <cfRule type="cellIs" dxfId="80" priority="4" operator="equal">
      <formula>1</formula>
    </cfRule>
  </conditionalFormatting>
  <conditionalFormatting sqref="I34 J34:J38">
    <cfRule type="cellIs" dxfId="79" priority="2" operator="equal">
      <formula>1</formula>
    </cfRule>
  </conditionalFormatting>
  <conditionalFormatting sqref="L34">
    <cfRule type="cellIs" dxfId="78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6"/>
  <sheetViews>
    <sheetView showGridLines="0" zoomScaleNormal="100" workbookViewId="0">
      <selection activeCell="R26" sqref="R26"/>
    </sheetView>
  </sheetViews>
  <sheetFormatPr defaultColWidth="9" defaultRowHeight="13.5"/>
  <cols>
    <col min="1" max="5" width="9" style="169"/>
    <col min="6" max="7" width="5.375" style="169" customWidth="1"/>
    <col min="8" max="8" width="9" style="169"/>
    <col min="9" max="10" width="5.375" style="169" customWidth="1"/>
    <col min="11" max="11" width="9" style="169"/>
    <col min="12" max="13" width="5.375" style="169" customWidth="1"/>
    <col min="14" max="14" width="9" style="170"/>
    <col min="15" max="15" width="9.375" style="171" bestFit="1" customWidth="1"/>
    <col min="16" max="18" width="9" style="169"/>
    <col min="19" max="20" width="9" style="172" customWidth="1"/>
    <col min="21" max="23" width="9" style="169" customWidth="1"/>
    <col min="24" max="16384" width="9" style="169"/>
  </cols>
  <sheetData>
    <row r="2" spans="2:24">
      <c r="B2" s="550" t="s">
        <v>154</v>
      </c>
      <c r="C2" s="166" t="s">
        <v>156</v>
      </c>
      <c r="D2" s="167" t="e">
        <f>VLOOKUP(E2,$T$14:$V$33,3,0)</f>
        <v>#N/A</v>
      </c>
      <c r="E2" s="168" t="e">
        <f t="array" ref="E2">MAX(IF($S$14:$S$33="남",$T$14:$T$33))</f>
        <v>#N/A</v>
      </c>
    </row>
    <row r="3" spans="2:24">
      <c r="B3" s="551"/>
      <c r="C3" s="166" t="s">
        <v>157</v>
      </c>
      <c r="D3" s="167" t="e">
        <f>VLOOKUP(E3,$T$14:$V$33,3,0)</f>
        <v>#N/A</v>
      </c>
      <c r="E3" s="173" t="e">
        <f t="array" ref="E3">MAX(IF($S$14:$S$33="여",$T$14:$T$33))</f>
        <v>#N/A</v>
      </c>
    </row>
    <row r="4" spans="2:24">
      <c r="B4" s="550" t="s">
        <v>158</v>
      </c>
      <c r="C4" s="166" t="s">
        <v>156</v>
      </c>
      <c r="D4" s="167" t="e">
        <f>VLOOKUP(E4,$U$14:$V$33,2,0)</f>
        <v>#N/A</v>
      </c>
      <c r="E4" s="168" t="e">
        <f t="array" ref="E4">MAX(IF($S$14:$S$33="남",$U$14:$U$33))</f>
        <v>#N/A</v>
      </c>
    </row>
    <row r="5" spans="2:24">
      <c r="B5" s="551"/>
      <c r="C5" s="166" t="s">
        <v>157</v>
      </c>
      <c r="D5" s="167" t="e">
        <f>VLOOKUP(E5,$U$14:$V$33,2,0)</f>
        <v>#N/A</v>
      </c>
      <c r="E5" s="173" t="e">
        <f t="array" ref="E5">MAX(IF($S$14:$S$33="여",$U$14:$U$33))</f>
        <v>#N/A</v>
      </c>
    </row>
    <row r="6" spans="2:24" ht="16.5">
      <c r="B6" s="550" t="s">
        <v>224</v>
      </c>
      <c r="C6" s="235" t="s">
        <v>154</v>
      </c>
      <c r="D6" s="554" t="s">
        <v>99</v>
      </c>
      <c r="E6" s="472"/>
    </row>
    <row r="7" spans="2:24" ht="16.5">
      <c r="B7" s="552"/>
      <c r="C7" s="235" t="s">
        <v>226</v>
      </c>
      <c r="D7" s="554" t="s">
        <v>255</v>
      </c>
      <c r="E7" s="472"/>
    </row>
    <row r="8" spans="2:24" ht="16.5">
      <c r="B8" s="557"/>
      <c r="C8" s="235" t="s">
        <v>227</v>
      </c>
      <c r="D8" s="554" t="s">
        <v>254</v>
      </c>
      <c r="E8" s="472"/>
    </row>
    <row r="9" spans="2:24" ht="16.5">
      <c r="B9" s="553"/>
      <c r="C9" s="166" t="s">
        <v>229</v>
      </c>
      <c r="D9" s="554" t="s">
        <v>239</v>
      </c>
      <c r="E9" s="472"/>
    </row>
    <row r="11" spans="2:24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174"/>
      <c r="M11" s="174"/>
      <c r="N11" s="569" t="s">
        <v>142</v>
      </c>
      <c r="O11" s="572" t="s">
        <v>184</v>
      </c>
      <c r="P11" s="575" t="s">
        <v>169</v>
      </c>
      <c r="Q11" s="576"/>
      <c r="R11" s="540" t="s">
        <v>143</v>
      </c>
    </row>
    <row r="12" spans="2:24">
      <c r="C12" s="543"/>
      <c r="D12" s="543"/>
      <c r="E12" s="544">
        <v>1</v>
      </c>
      <c r="F12" s="545"/>
      <c r="G12" s="560"/>
      <c r="H12" s="544">
        <v>2</v>
      </c>
      <c r="I12" s="545"/>
      <c r="J12" s="560"/>
      <c r="K12" s="544">
        <v>3</v>
      </c>
      <c r="L12" s="545"/>
      <c r="M12" s="560"/>
      <c r="N12" s="570"/>
      <c r="O12" s="573"/>
      <c r="P12" s="577"/>
      <c r="Q12" s="578"/>
      <c r="R12" s="558"/>
      <c r="X12" s="172"/>
    </row>
    <row r="13" spans="2:24" ht="27">
      <c r="C13" s="543"/>
      <c r="D13" s="543"/>
      <c r="E13" s="175" t="s">
        <v>150</v>
      </c>
      <c r="F13" s="176" t="s">
        <v>152</v>
      </c>
      <c r="G13" s="177" t="s">
        <v>153</v>
      </c>
      <c r="H13" s="175" t="s">
        <v>150</v>
      </c>
      <c r="I13" s="176" t="s">
        <v>152</v>
      </c>
      <c r="J13" s="177" t="s">
        <v>153</v>
      </c>
      <c r="K13" s="175" t="s">
        <v>150</v>
      </c>
      <c r="L13" s="176" t="s">
        <v>152</v>
      </c>
      <c r="M13" s="177" t="s">
        <v>153</v>
      </c>
      <c r="N13" s="571"/>
      <c r="O13" s="574"/>
      <c r="P13" s="178" t="s">
        <v>144</v>
      </c>
      <c r="Q13" s="251" t="s">
        <v>168</v>
      </c>
      <c r="R13" s="559"/>
      <c r="T13" s="172" t="s">
        <v>170</v>
      </c>
      <c r="U13" s="169" t="s">
        <v>171</v>
      </c>
    </row>
    <row r="14" spans="2:24">
      <c r="C14" s="561" t="s">
        <v>145</v>
      </c>
      <c r="D14" s="180" t="s">
        <v>103</v>
      </c>
      <c r="E14" s="181">
        <f>IFERROR(VLOOKUP($D$14,'미니게임_DATA(순)'!$A$5:$BX$38,74,0),0)</f>
        <v>174</v>
      </c>
      <c r="F14" s="563">
        <f>RANK(E18,($E$18,$E$23,$E$28,$E$33))</f>
        <v>3</v>
      </c>
      <c r="G14" s="566">
        <f>F14</f>
        <v>3</v>
      </c>
      <c r="H14" s="181">
        <f>IFERROR(VLOOKUP(D14,'미니게임_DATA(순)'!$A$5:$BX$38,75,0),0)</f>
        <v>179</v>
      </c>
      <c r="I14" s="563">
        <f>RANK(H18,($H$18,$H$23,$H$28,$H$33))</f>
        <v>2</v>
      </c>
      <c r="J14" s="566">
        <f>RANK(W18,($W$18,$W$23,$W$28,$W$33))</f>
        <v>2</v>
      </c>
      <c r="K14" s="181">
        <f>IFERROR(VLOOKUP(D14,'미니게임_DATA(순)'!$A$5:$BX$38,76,0),0)</f>
        <v>147</v>
      </c>
      <c r="L14" s="563">
        <f>RANK(K18,($K$18,$K$23,$K$28,$K$33))</f>
        <v>3</v>
      </c>
      <c r="M14" s="566">
        <f>P14</f>
        <v>2</v>
      </c>
      <c r="N14" s="181">
        <f>E14+H14+K14</f>
        <v>500</v>
      </c>
      <c r="O14" s="183">
        <f>N14/3</f>
        <v>166.66666666666666</v>
      </c>
      <c r="P14" s="579">
        <f>RANK(N18,($N$18,$N$23,$N$28,$N$33))</f>
        <v>2</v>
      </c>
      <c r="Q14" s="586">
        <f>MAX($N$18,$N$23,N$28,N$33)-N18</f>
        <v>528</v>
      </c>
      <c r="R14" s="184">
        <f>IFERROR(O14-VLOOKUP(D14,미니게임_DATA!$A:$BW,MATCH("rct 10g avg",미니게임_DATA!$A$3:$BW$3,0),0),0)-20</f>
        <v>-36.533333333333331</v>
      </c>
      <c r="S14" s="172" t="str">
        <f>VLOOKUP(D14,미니게임_DATA!$A:$BW,MATCH("성별",미니게임_DATA!$A$3:$BW$3,0),0)</f>
        <v>남</v>
      </c>
      <c r="T14" s="185">
        <f>MAX(  VLOOKUP(V14,'미니게임_DATA(순)'!$A$5:$EV$38,74,0),VLOOKUP(D14,'미니게임_DATA(순)'!$A$5:$EV$38,75,0), VLOOKUP(D14,'미니게임_DATA(순)'!$A$5:$EV$38,76,0))</f>
        <v>179</v>
      </c>
      <c r="U14" s="186">
        <f>VLOOKUP(V14,'미니게임_DATA(순)'!$A$5:$EW$38,81,0)</f>
        <v>0</v>
      </c>
      <c r="V14" s="187" t="str">
        <f>D14</f>
        <v>천재복</v>
      </c>
    </row>
    <row r="15" spans="2:24">
      <c r="C15" s="562"/>
      <c r="D15" s="188" t="s">
        <v>100</v>
      </c>
      <c r="E15" s="181">
        <f>IFERROR(VLOOKUP(D15,'미니게임_DATA(순)'!$A$5:$BX$38,74,0),0)</f>
        <v>135</v>
      </c>
      <c r="F15" s="564"/>
      <c r="G15" s="567"/>
      <c r="H15" s="181">
        <f>IFERROR(VLOOKUP(D15,'미니게임_DATA(순)'!$A$5:$BX$38,75,0),0)</f>
        <v>178</v>
      </c>
      <c r="I15" s="564"/>
      <c r="J15" s="567"/>
      <c r="K15" s="181">
        <f>IFERROR(VLOOKUP(D15,'미니게임_DATA(순)'!$A$5:$BX$38,76,0),0)</f>
        <v>199</v>
      </c>
      <c r="L15" s="564"/>
      <c r="M15" s="567"/>
      <c r="N15" s="182">
        <f t="shared" ref="N15:N18" si="0">E15+H15+K15</f>
        <v>512</v>
      </c>
      <c r="O15" s="189">
        <f t="shared" ref="O15:O17" si="1">N15/3</f>
        <v>170.66666666666666</v>
      </c>
      <c r="P15" s="580"/>
      <c r="Q15" s="587"/>
      <c r="R15" s="190">
        <f>IFERROR(O15-VLOOKUP(D15,미니게임_DATA!$A:$BW,MATCH("rct 10g avg",미니게임_DATA!$A$3:$BW$3,0),0),0)</f>
        <v>16.066666666666663</v>
      </c>
      <c r="S15" s="172" t="str">
        <f>VLOOKUP(D15,미니게임_DATA!$A:$BW,MATCH("성별",미니게임_DATA!$A$3:$BW$3,0),0)</f>
        <v>남</v>
      </c>
      <c r="T15" s="185">
        <f>MAX(  VLOOKUP(V15,'미니게임_DATA(순)'!$A$5:$EV$38,74,0),VLOOKUP(D15,'미니게임_DATA(순)'!$A$5:$EV$38,75,0), VLOOKUP(D15,'미니게임_DATA(순)'!$A$5:$EV$38,76,0))</f>
        <v>199</v>
      </c>
      <c r="U15" s="186">
        <f>VLOOKUP(V15,'미니게임_DATA(순)'!$A$5:$EW$38,81,0)</f>
        <v>166</v>
      </c>
      <c r="V15" s="187" t="str">
        <f t="shared" ref="V15:V33" si="2">D15</f>
        <v>박용승</v>
      </c>
    </row>
    <row r="16" spans="2:24">
      <c r="C16" s="562"/>
      <c r="D16" s="188" t="s">
        <v>114</v>
      </c>
      <c r="E16" s="181">
        <f>IFERROR(VLOOKUP(D16,'미니게임_DATA(순)'!$A$5:$BX$38,74,0),0)+28</f>
        <v>28</v>
      </c>
      <c r="F16" s="564"/>
      <c r="G16" s="567"/>
      <c r="H16" s="181">
        <f>IFERROR(VLOOKUP(D16,'미니게임_DATA(순)'!$A$5:$BX$38,75,0),0)+28</f>
        <v>28</v>
      </c>
      <c r="I16" s="564"/>
      <c r="J16" s="567"/>
      <c r="K16" s="181">
        <f>IFERROR(VLOOKUP(D16,'미니게임_DATA(순)'!$A$5:$BX$38,76,0),0)+28</f>
        <v>28</v>
      </c>
      <c r="L16" s="564"/>
      <c r="M16" s="567"/>
      <c r="N16" s="182">
        <f t="shared" si="0"/>
        <v>84</v>
      </c>
      <c r="O16" s="189">
        <f t="shared" si="1"/>
        <v>28</v>
      </c>
      <c r="P16" s="580"/>
      <c r="Q16" s="587"/>
      <c r="R16" s="190">
        <f>IFERROR(O16-VLOOKUP(D16,미니게임_DATA!$A:$BW,MATCH("rct 10g avg",미니게임_DATA!$A$3:$BW$3,0),0),0)</f>
        <v>-81.2</v>
      </c>
      <c r="S16" s="172" t="str">
        <f>VLOOKUP(D16,미니게임_DATA!$A:$BW,MATCH("성별",미니게임_DATA!$A$3:$BW$3,0),0)</f>
        <v>여</v>
      </c>
      <c r="T16" s="185" t="e">
        <f>MAX(  VLOOKUP(V16,'미니게임_DATA(순)'!$A$5:$EV$38,74,0),VLOOKUP(D16,'미니게임_DATA(순)'!$A$5:$EV$38,75,0), VLOOKUP(D16,'미니게임_DATA(순)'!$A$5:$EV$38,76,0))</f>
        <v>#N/A</v>
      </c>
      <c r="U16" s="186" t="e">
        <f>VLOOKUP(V16,'미니게임_DATA(순)'!$A$5:$EW$38,81,0)</f>
        <v>#N/A</v>
      </c>
      <c r="V16" s="187" t="str">
        <f t="shared" si="2"/>
        <v>김주현</v>
      </c>
    </row>
    <row r="17" spans="3:23">
      <c r="C17" s="562"/>
      <c r="D17" s="191"/>
      <c r="E17" s="182"/>
      <c r="F17" s="564"/>
      <c r="G17" s="567"/>
      <c r="H17" s="182"/>
      <c r="I17" s="564"/>
      <c r="J17" s="567"/>
      <c r="K17" s="182"/>
      <c r="L17" s="564"/>
      <c r="M17" s="567"/>
      <c r="N17" s="182">
        <f t="shared" si="0"/>
        <v>0</v>
      </c>
      <c r="O17" s="189">
        <f t="shared" si="1"/>
        <v>0</v>
      </c>
      <c r="P17" s="580"/>
      <c r="Q17" s="587"/>
      <c r="R17" s="190">
        <f>IFERROR(O17-VLOOKUP(D17,미니게임_DATA!$A:$BW,MATCH("rct 10g avg",미니게임_DATA!$A$3:$BW$3,0),0),0)</f>
        <v>0</v>
      </c>
      <c r="T17" s="185"/>
      <c r="U17" s="186"/>
      <c r="V17" s="187"/>
    </row>
    <row r="18" spans="3:23">
      <c r="C18" s="192"/>
      <c r="D18" s="193"/>
      <c r="E18" s="194">
        <f>SUMIF(E14:E17, "&gt;0")</f>
        <v>337</v>
      </c>
      <c r="F18" s="565"/>
      <c r="G18" s="568"/>
      <c r="H18" s="194">
        <f>SUMIF(H14:H17, "&gt;0")</f>
        <v>385</v>
      </c>
      <c r="I18" s="565"/>
      <c r="J18" s="568"/>
      <c r="K18" s="194">
        <f>SUMIF(K14:K17, "&gt;0")</f>
        <v>374</v>
      </c>
      <c r="L18" s="565"/>
      <c r="M18" s="568"/>
      <c r="N18" s="194">
        <f t="shared" si="0"/>
        <v>1096</v>
      </c>
      <c r="O18" s="195"/>
      <c r="P18" s="581"/>
      <c r="Q18" s="588"/>
      <c r="R18" s="196">
        <f>IFERROR(O18-VLOOKUP(D18,미니게임_DATA!$A:$BW,MATCH("rct 10g avg",미니게임_DATA!$A$3:$BW$3,0),0),0)</f>
        <v>0</v>
      </c>
      <c r="S18" s="185">
        <f>N18</f>
        <v>1096</v>
      </c>
      <c r="T18" s="185">
        <f>MAX(E18,H18,K18)</f>
        <v>385</v>
      </c>
      <c r="U18" s="186"/>
      <c r="V18" s="187">
        <f t="shared" si="2"/>
        <v>0</v>
      </c>
      <c r="W18" s="187">
        <f>SUM(E18,H18)</f>
        <v>722</v>
      </c>
    </row>
    <row r="19" spans="3:23">
      <c r="C19" s="561" t="s">
        <v>146</v>
      </c>
      <c r="D19" s="180" t="s">
        <v>248</v>
      </c>
      <c r="E19" s="181">
        <f>IFERROR(VLOOKUP(D19,'미니게임_DATA(순)'!$A$5:$BX$38,74,0),0)</f>
        <v>0</v>
      </c>
      <c r="F19" s="563">
        <f>RANK(E23,($E$18,$E$23,$E$28,$E$33))</f>
        <v>2</v>
      </c>
      <c r="G19" s="566">
        <f t="shared" ref="G19" si="3">F19</f>
        <v>2</v>
      </c>
      <c r="H19" s="181">
        <f>IFERROR(VLOOKUP(D19,'미니게임_DATA(순)'!$A$5:$BX$38,75,0),0)</f>
        <v>0</v>
      </c>
      <c r="I19" s="563">
        <f>RANK(H23,($H$18,$H$23,$H$28,$H$33))</f>
        <v>4</v>
      </c>
      <c r="J19" s="566">
        <f>RANK(W23,($W$18,$W$23,$W$28,$W$33))</f>
        <v>3</v>
      </c>
      <c r="K19" s="181">
        <f>IFERROR(VLOOKUP(D19,'미니게임_DATA(순)'!$A$5:$BX$38,76,0),0)</f>
        <v>0</v>
      </c>
      <c r="L19" s="563">
        <f>RANK(K23,($K$18,$K$23,$K$28,$K$33))</f>
        <v>4</v>
      </c>
      <c r="M19" s="566">
        <f t="shared" ref="M19" si="4">P19</f>
        <v>3</v>
      </c>
      <c r="N19" s="181">
        <f>E19+H19+K19</f>
        <v>0</v>
      </c>
      <c r="O19" s="183">
        <f>N19/3</f>
        <v>0</v>
      </c>
      <c r="P19" s="579">
        <f>RANK(N23,($N$18,$N$23,$N$28,$N$33))</f>
        <v>3</v>
      </c>
      <c r="Q19" s="582">
        <f>MAX($N$18,$N$23,N$28,N$33)-N23</f>
        <v>600</v>
      </c>
      <c r="R19" s="184">
        <f>IFERROR(O19-VLOOKUP(D19,미니게임_DATA!$A:$BW,MATCH("rct 10g avg",미니게임_DATA!$A$3:$BW$3,0),0),0)-25</f>
        <v>-203.8</v>
      </c>
      <c r="S19" s="172" t="str">
        <f>VLOOKUP(D19,미니게임_DATA!$A:$BW,MATCH("성별",미니게임_DATA!$A$3:$BW$3,0),0)</f>
        <v>남</v>
      </c>
      <c r="T19" s="185" t="e">
        <f>MAX(  VLOOKUP(V19,'미니게임_DATA(순)'!$A$5:$EV$38,74,0),VLOOKUP(D19,'미니게임_DATA(순)'!$A$5:$EV$38,75,0), VLOOKUP(D19,'미니게임_DATA(순)'!$A$5:$EV$38,76,0))</f>
        <v>#N/A</v>
      </c>
      <c r="U19" s="186" t="e">
        <f>VLOOKUP(V19,'미니게임_DATA(순)'!$A$5:$EW$38,81,0)</f>
        <v>#N/A</v>
      </c>
      <c r="V19" s="187" t="str">
        <f t="shared" si="2"/>
        <v>최은규</v>
      </c>
    </row>
    <row r="20" spans="3:23">
      <c r="C20" s="585"/>
      <c r="D20" s="197" t="s">
        <v>108</v>
      </c>
      <c r="E20" s="181">
        <f>IFERROR(VLOOKUP(D20,'미니게임_DATA(순)'!$A$5:$BX$38,74,0),0)</f>
        <v>204</v>
      </c>
      <c r="F20" s="564"/>
      <c r="G20" s="567"/>
      <c r="H20" s="181">
        <f>IFERROR(VLOOKUP(D20,'미니게임_DATA(순)'!$A$5:$BX$38,75,0),0)</f>
        <v>184</v>
      </c>
      <c r="I20" s="564"/>
      <c r="J20" s="567"/>
      <c r="K20" s="181">
        <f>IFERROR(VLOOKUP(D20,'미니게임_DATA(순)'!$A$5:$BX$38,76,0),0)</f>
        <v>162</v>
      </c>
      <c r="L20" s="564"/>
      <c r="M20" s="567"/>
      <c r="N20" s="182">
        <f t="shared" ref="N20:N22" si="5">E20+H20+K20</f>
        <v>550</v>
      </c>
      <c r="O20" s="189">
        <f t="shared" ref="O20:O22" si="6">N20/3</f>
        <v>183.33333333333334</v>
      </c>
      <c r="P20" s="580"/>
      <c r="Q20" s="583"/>
      <c r="R20" s="190">
        <f>IFERROR(O20-VLOOKUP(D20,미니게임_DATA!$A:$BW,MATCH("rct 10g avg",미니게임_DATA!$A$3:$BW$3,0),0),0)</f>
        <v>28.833333333333343</v>
      </c>
      <c r="S20" s="172" t="str">
        <f>VLOOKUP(D20,미니게임_DATA!$A:$BW,MATCH("성별",미니게임_DATA!$A$3:$BW$3,0),0)</f>
        <v>남</v>
      </c>
      <c r="T20" s="185">
        <f>MAX(  VLOOKUP(V20,'미니게임_DATA(순)'!$A$5:$EV$38,74,0),VLOOKUP(D20,'미니게임_DATA(순)'!$A$5:$EV$38,75,0), VLOOKUP(D20,'미니게임_DATA(순)'!$A$5:$EV$38,76,0))</f>
        <v>204</v>
      </c>
      <c r="U20" s="186">
        <f>VLOOKUP(V20,'미니게임_DATA(순)'!$A$5:$EW$38,81,0)</f>
        <v>0</v>
      </c>
      <c r="V20" s="187" t="str">
        <f t="shared" si="2"/>
        <v>김기선</v>
      </c>
    </row>
    <row r="21" spans="3:23">
      <c r="C21" s="562"/>
      <c r="D21" s="188" t="s">
        <v>249</v>
      </c>
      <c r="E21" s="181">
        <f>IFERROR(VLOOKUP(D21,'미니게임_DATA(순)'!$A$5:$BX$38,74,0),0)</f>
        <v>142</v>
      </c>
      <c r="F21" s="564"/>
      <c r="G21" s="567"/>
      <c r="H21" s="181">
        <f>IFERROR(VLOOKUP(D21,'미니게임_DATA(순)'!$A$5:$BX$38,75,0),0)</f>
        <v>135</v>
      </c>
      <c r="I21" s="564"/>
      <c r="J21" s="567"/>
      <c r="K21" s="181">
        <f>IFERROR(VLOOKUP(D21,'미니게임_DATA(순)'!$A$5:$BX$38,76,0),0)</f>
        <v>197</v>
      </c>
      <c r="L21" s="564"/>
      <c r="M21" s="567"/>
      <c r="N21" s="182">
        <f t="shared" si="5"/>
        <v>474</v>
      </c>
      <c r="O21" s="189">
        <f t="shared" si="6"/>
        <v>158</v>
      </c>
      <c r="P21" s="580"/>
      <c r="Q21" s="583"/>
      <c r="R21" s="190">
        <f>IFERROR(O21-VLOOKUP(D21,미니게임_DATA!$A:$BW,MATCH("rct 10g avg",미니게임_DATA!$A$3:$BW$3,0),0),0)</f>
        <v>14.599999999999994</v>
      </c>
      <c r="S21" s="172" t="str">
        <f>VLOOKUP(D21,미니게임_DATA!$A:$BW,MATCH("성별",미니게임_DATA!$A$3:$BW$3,0),0)</f>
        <v>남</v>
      </c>
      <c r="T21" s="185">
        <f>MAX(  VLOOKUP(V21,'미니게임_DATA(순)'!$A$5:$EV$38,74,0),VLOOKUP(D21,'미니게임_DATA(순)'!$A$5:$EV$38,75,0), VLOOKUP(D21,'미니게임_DATA(순)'!$A$5:$EV$38,76,0))</f>
        <v>197</v>
      </c>
      <c r="U21" s="186">
        <f>VLOOKUP(V21,'미니게임_DATA(순)'!$A$5:$EW$38,81,0)</f>
        <v>171</v>
      </c>
      <c r="V21" s="187" t="str">
        <f t="shared" si="2"/>
        <v>이강은</v>
      </c>
    </row>
    <row r="22" spans="3:23">
      <c r="C22" s="562"/>
      <c r="D22" s="188"/>
      <c r="E22" s="182"/>
      <c r="F22" s="564"/>
      <c r="G22" s="567"/>
      <c r="H22" s="182"/>
      <c r="I22" s="564"/>
      <c r="J22" s="567"/>
      <c r="K22" s="182"/>
      <c r="L22" s="564"/>
      <c r="M22" s="567"/>
      <c r="N22" s="182">
        <f t="shared" si="5"/>
        <v>0</v>
      </c>
      <c r="O22" s="189">
        <f t="shared" si="6"/>
        <v>0</v>
      </c>
      <c r="P22" s="580"/>
      <c r="Q22" s="583"/>
      <c r="R22" s="190">
        <f>IFERROR(O22-VLOOKUP(D22,미니게임_DATA!$A:$BW,MATCH("rct 10g avg",미니게임_DATA!$A$3:$BW$3,0),0),0)</f>
        <v>0</v>
      </c>
      <c r="T22" s="185"/>
      <c r="U22" s="186"/>
      <c r="V22" s="187"/>
    </row>
    <row r="23" spans="3:23">
      <c r="C23" s="192"/>
      <c r="D23" s="193"/>
      <c r="E23" s="194">
        <f t="shared" ref="E23" si="7">SUMIF(E19:E22, "&gt;0")</f>
        <v>346</v>
      </c>
      <c r="F23" s="565"/>
      <c r="G23" s="568"/>
      <c r="H23" s="194">
        <f t="shared" ref="H23" si="8">SUMIF(H19:H22, "&gt;0")</f>
        <v>319</v>
      </c>
      <c r="I23" s="565"/>
      <c r="J23" s="568"/>
      <c r="K23" s="194">
        <f>SUMIF(K19:K22, "&gt;0")</f>
        <v>359</v>
      </c>
      <c r="L23" s="565"/>
      <c r="M23" s="568"/>
      <c r="N23" s="194">
        <f>E23+H23+K23</f>
        <v>1024</v>
      </c>
      <c r="O23" s="195"/>
      <c r="P23" s="581"/>
      <c r="Q23" s="584"/>
      <c r="R23" s="196">
        <f>IFERROR(O23-VLOOKUP(D23,미니게임_DATA!$A:$BW,MATCH("rct 10g avg",미니게임_DATA!$A$3:$BW$3,0),0),0)</f>
        <v>0</v>
      </c>
      <c r="S23" s="185">
        <f>N23</f>
        <v>1024</v>
      </c>
      <c r="T23" s="185">
        <f>MAX(E23,H23,K23)</f>
        <v>359</v>
      </c>
      <c r="U23" s="186"/>
      <c r="V23" s="187">
        <f t="shared" si="2"/>
        <v>0</v>
      </c>
      <c r="W23" s="187">
        <f>SUM(E23,H23)</f>
        <v>665</v>
      </c>
    </row>
    <row r="24" spans="3:23">
      <c r="C24" s="561" t="s">
        <v>147</v>
      </c>
      <c r="D24" s="180" t="s">
        <v>99</v>
      </c>
      <c r="E24" s="181">
        <f>IFERROR(VLOOKUP(D24,'미니게임_DATA(순)'!$A$5:$BX$38,74,0),0)</f>
        <v>160</v>
      </c>
      <c r="F24" s="563">
        <f>RANK(E28,($E$18,$E$23,$E$28,$E$33))</f>
        <v>1</v>
      </c>
      <c r="G24" s="566">
        <f t="shared" ref="G24" si="9">F24</f>
        <v>1</v>
      </c>
      <c r="H24" s="181">
        <f>IFERROR(VLOOKUP(D24,'미니게임_DATA(순)'!$A$5:$BX$38,75,0),0)</f>
        <v>223</v>
      </c>
      <c r="I24" s="563">
        <f>RANK(H28,($H$18,$H$23,$H$28,$H$33))</f>
        <v>1</v>
      </c>
      <c r="J24" s="566">
        <f>RANK(W28,($W$18,$W$23,$W$28,$W$33))</f>
        <v>1</v>
      </c>
      <c r="K24" s="181">
        <f>IFERROR(VLOOKUP(D24,'미니게임_DATA(순)'!$A$5:$BX$38,76,0),0)</f>
        <v>199</v>
      </c>
      <c r="L24" s="563">
        <f>RANK(K28,($K$18,$K$23,$K$28,$K$33))</f>
        <v>1</v>
      </c>
      <c r="M24" s="566">
        <f t="shared" ref="M24" si="10">P24</f>
        <v>1</v>
      </c>
      <c r="N24" s="181">
        <f>E24+H24+K24</f>
        <v>582</v>
      </c>
      <c r="O24" s="183">
        <f>N24/3</f>
        <v>194</v>
      </c>
      <c r="P24" s="579">
        <f>RANK(N28,($N$18,$N$23,$N$28,$N$33))</f>
        <v>1</v>
      </c>
      <c r="Q24" s="582">
        <f>MAX($N$18,$N$23,N$28,N$33)-N28</f>
        <v>0</v>
      </c>
      <c r="R24" s="184">
        <f>IFERROR(O24-VLOOKUP(D24,미니게임_DATA!$A:$BW,MATCH("rct 10g avg",미니게임_DATA!$A$3:$BW$3,0),0),0)-15</f>
        <v>11.900000000000006</v>
      </c>
      <c r="S24" s="172" t="str">
        <f>VLOOKUP(D24,미니게임_DATA!$A:$BW,MATCH("성별",미니게임_DATA!$A$3:$BW$3,0),0)</f>
        <v>남</v>
      </c>
      <c r="T24" s="185">
        <f>MAX(  VLOOKUP(V24,'미니게임_DATA(순)'!$A$5:$EV$38,74,0),VLOOKUP(D24,'미니게임_DATA(순)'!$A$5:$EV$38,75,0), VLOOKUP(D24,'미니게임_DATA(순)'!$A$5:$EV$38,76,0))</f>
        <v>223</v>
      </c>
      <c r="U24" s="186">
        <f>VLOOKUP(V24,'미니게임_DATA(순)'!$A$5:$EW$38,81,0)</f>
        <v>132</v>
      </c>
      <c r="V24" s="187" t="str">
        <f t="shared" si="2"/>
        <v>정동현</v>
      </c>
    </row>
    <row r="25" spans="3:23">
      <c r="C25" s="562"/>
      <c r="D25" s="188" t="s">
        <v>250</v>
      </c>
      <c r="E25" s="181">
        <f>IFERROR(VLOOKUP(D25,'미니게임_DATA(순)'!$A$5:$BX$38,74,0),0)</f>
        <v>181</v>
      </c>
      <c r="F25" s="564"/>
      <c r="G25" s="567"/>
      <c r="H25" s="181">
        <f>IFERROR(VLOOKUP(D25,'미니게임_DATA(순)'!$A$5:$BX$38,75,0),0)</f>
        <v>173</v>
      </c>
      <c r="I25" s="564"/>
      <c r="J25" s="567"/>
      <c r="K25" s="181">
        <f>IFERROR(VLOOKUP(D25,'미니게임_DATA(순)'!$A$5:$BX$38,76,0),0)</f>
        <v>194</v>
      </c>
      <c r="L25" s="564"/>
      <c r="M25" s="567"/>
      <c r="N25" s="182">
        <f t="shared" ref="N25:N28" si="11">E25+H25+K25</f>
        <v>548</v>
      </c>
      <c r="O25" s="189">
        <f t="shared" ref="O25:O27" si="12">N25/3</f>
        <v>182.66666666666666</v>
      </c>
      <c r="P25" s="580"/>
      <c r="Q25" s="583"/>
      <c r="R25" s="190">
        <f>IFERROR(O25-VLOOKUP(D25,미니게임_DATA!$A:$BW,MATCH("rct 10g avg",미니게임_DATA!$A$3:$BW$3,0),0),0)</f>
        <v>14.466666666666669</v>
      </c>
      <c r="S25" s="172" t="str">
        <f>VLOOKUP(D25,미니게임_DATA!$A:$BW,MATCH("성별",미니게임_DATA!$A$3:$BW$3,0),0)</f>
        <v>남</v>
      </c>
      <c r="T25" s="185">
        <f>MAX(  VLOOKUP(V25,'미니게임_DATA(순)'!$A$5:$EV$38,74,0),VLOOKUP(D25,'미니게임_DATA(순)'!$A$5:$EV$38,75,0), VLOOKUP(D25,'미니게임_DATA(순)'!$A$5:$EV$38,76,0))</f>
        <v>194</v>
      </c>
      <c r="U25" s="186">
        <f>VLOOKUP(V25,'미니게임_DATA(순)'!$A$5:$EW$38,81,0)</f>
        <v>154</v>
      </c>
      <c r="V25" s="187" t="str">
        <f t="shared" si="2"/>
        <v>김신철</v>
      </c>
    </row>
    <row r="26" spans="3:23">
      <c r="C26" s="562"/>
      <c r="D26" s="188" t="s">
        <v>97</v>
      </c>
      <c r="E26" s="181">
        <f>IFERROR(VLOOKUP(D26,'미니게임_DATA(순)'!$A$5:$BX$38,74,0),0)</f>
        <v>175</v>
      </c>
      <c r="F26" s="564"/>
      <c r="G26" s="567"/>
      <c r="H26" s="181">
        <f>IFERROR(VLOOKUP(D26,'미니게임_DATA(순)'!$A$5:$BX$38,75,0),0)</f>
        <v>150</v>
      </c>
      <c r="I26" s="564"/>
      <c r="J26" s="567"/>
      <c r="K26" s="181">
        <f>IFERROR(VLOOKUP(D26,'미니게임_DATA(순)'!$A$5:$BX$38,76,0),0)</f>
        <v>169</v>
      </c>
      <c r="L26" s="564"/>
      <c r="M26" s="567"/>
      <c r="N26" s="182">
        <f t="shared" si="11"/>
        <v>494</v>
      </c>
      <c r="O26" s="189">
        <f t="shared" si="12"/>
        <v>164.66666666666666</v>
      </c>
      <c r="P26" s="580"/>
      <c r="Q26" s="583"/>
      <c r="R26" s="190">
        <f>IFERROR(O26-VLOOKUP(D26,미니게임_DATA!$A:$BW,MATCH("rct 10g avg",미니게임_DATA!$A$3:$BW$3,0),0),0)</f>
        <v>10.866666666666646</v>
      </c>
      <c r="S26" s="172" t="str">
        <f>VLOOKUP(D26,미니게임_DATA!$A:$BW,MATCH("성별",미니게임_DATA!$A$3:$BW$3,0),0)</f>
        <v>여</v>
      </c>
      <c r="T26" s="185">
        <f>MAX(  VLOOKUP(V26,'미니게임_DATA(순)'!$A$5:$EV$38,74,0),VLOOKUP(D26,'미니게임_DATA(순)'!$A$5:$EV$38,75,0), VLOOKUP(D26,'미니게임_DATA(순)'!$A$5:$EV$38,76,0))</f>
        <v>175</v>
      </c>
      <c r="U26" s="186">
        <f>VLOOKUP(V26,'미니게임_DATA(순)'!$A$5:$EW$38,81,0)</f>
        <v>156</v>
      </c>
      <c r="V26" s="187" t="str">
        <f t="shared" si="2"/>
        <v>성소라</v>
      </c>
    </row>
    <row r="27" spans="3:23">
      <c r="C27" s="562"/>
      <c r="D27" s="188"/>
      <c r="E27" s="182">
        <f>IFERROR(VLOOKUP(D27,미니게임_DATA!$A:$GT,6,0),0)</f>
        <v>0</v>
      </c>
      <c r="F27" s="564"/>
      <c r="G27" s="567"/>
      <c r="H27" s="182">
        <f>IFERROR(VLOOKUP(D27,미니게임_DATA!$A:$GT,7,0),0)</f>
        <v>0</v>
      </c>
      <c r="I27" s="564"/>
      <c r="J27" s="567"/>
      <c r="K27" s="182">
        <f>IFERROR(VLOOKUP(D27,미니게임_DATA!$A:$GT,8,0),0)</f>
        <v>0</v>
      </c>
      <c r="L27" s="564"/>
      <c r="M27" s="567"/>
      <c r="N27" s="182">
        <f t="shared" si="11"/>
        <v>0</v>
      </c>
      <c r="O27" s="189">
        <f t="shared" si="12"/>
        <v>0</v>
      </c>
      <c r="P27" s="580"/>
      <c r="Q27" s="583"/>
      <c r="R27" s="190">
        <f>IFERROR(O27-VLOOKUP(D27,미니게임_DATA!$A:$BW,MATCH("rct 10g avg",미니게임_DATA!$A$3:$BW$3,0),0),0)</f>
        <v>0</v>
      </c>
      <c r="T27" s="185"/>
      <c r="U27" s="186"/>
      <c r="V27" s="187"/>
    </row>
    <row r="28" spans="3:23">
      <c r="C28" s="192"/>
      <c r="D28" s="193"/>
      <c r="E28" s="194">
        <f>SUMIF(E24:E27, "&gt;0")</f>
        <v>516</v>
      </c>
      <c r="F28" s="565"/>
      <c r="G28" s="568"/>
      <c r="H28" s="194">
        <f>SUMIF(H24:H27, "&gt;0")</f>
        <v>546</v>
      </c>
      <c r="I28" s="565"/>
      <c r="J28" s="568"/>
      <c r="K28" s="194">
        <f>SUMIF(K24:K27, "&gt;0")</f>
        <v>562</v>
      </c>
      <c r="L28" s="565"/>
      <c r="M28" s="568"/>
      <c r="N28" s="194">
        <f t="shared" si="11"/>
        <v>1624</v>
      </c>
      <c r="O28" s="195"/>
      <c r="P28" s="581"/>
      <c r="Q28" s="584"/>
      <c r="R28" s="196">
        <f>IFERROR(O28-VLOOKUP(D28,미니게임_DATA!$A:$BW,MATCH("rct 10g avg",미니게임_DATA!$A$3:$BW$3,0),0),0)</f>
        <v>0</v>
      </c>
      <c r="S28" s="185">
        <f>N28</f>
        <v>1624</v>
      </c>
      <c r="T28" s="185">
        <f>MAX(E28,H28,K28)</f>
        <v>562</v>
      </c>
      <c r="U28" s="186"/>
      <c r="V28" s="187">
        <f t="shared" si="2"/>
        <v>0</v>
      </c>
      <c r="W28" s="187">
        <f>SUM(E28,H28)</f>
        <v>1062</v>
      </c>
    </row>
    <row r="29" spans="3:23">
      <c r="C29" s="561" t="s">
        <v>148</v>
      </c>
      <c r="D29" s="180" t="s">
        <v>251</v>
      </c>
      <c r="E29" s="181">
        <f>IFERROR(VLOOKUP(D29,'미니게임_DATA(순)'!$A$5:$BX$38,74,0),0)</f>
        <v>119</v>
      </c>
      <c r="F29" s="563">
        <f>RANK(E33,($E$18,$E$23,$E$28,$E$33))</f>
        <v>4</v>
      </c>
      <c r="G29" s="566">
        <f t="shared" ref="G29" si="13">F29</f>
        <v>4</v>
      </c>
      <c r="H29" s="181">
        <f>IFERROR(VLOOKUP(D29,'미니게임_DATA(순)'!$A$5:$BX$38,75,0),0)</f>
        <v>158</v>
      </c>
      <c r="I29" s="563">
        <f>RANK(H33,($H$18,$H$23,$H$28,$H$33))</f>
        <v>3</v>
      </c>
      <c r="J29" s="566">
        <f>RANK(W33,($W$18,$W$23,$W$28,$W$33))</f>
        <v>4</v>
      </c>
      <c r="K29" s="181">
        <f>IFERROR(VLOOKUP(D29,'미니게임_DATA(순)'!$A$5:$BX$38,76,0),0)</f>
        <v>182</v>
      </c>
      <c r="L29" s="563">
        <f>RANK(K33,($K$18,$K$23,$K$28,$K$33))</f>
        <v>2</v>
      </c>
      <c r="M29" s="566">
        <f t="shared" ref="M29" si="14">P29</f>
        <v>4</v>
      </c>
      <c r="N29" s="181">
        <f>E29+H29+K29</f>
        <v>459</v>
      </c>
      <c r="O29" s="183">
        <f>N29/3</f>
        <v>153</v>
      </c>
      <c r="P29" s="579">
        <f>RANK(N33,($N$18,$N$23,$N$28,$N$33))</f>
        <v>4</v>
      </c>
      <c r="Q29" s="582">
        <f>MAX($N$18,$N$23,N$28,N$33)-N33</f>
        <v>601</v>
      </c>
      <c r="R29" s="184">
        <f>IFERROR(O29-VLOOKUP(D29,미니게임_DATA!$A:$BW,MATCH("rct 10g avg",미니게임_DATA!$A$3:$BW$3,0),0),0)</f>
        <v>-9.9000000000000057</v>
      </c>
      <c r="S29" s="172" t="str">
        <f>VLOOKUP(D29,미니게임_DATA!$A:$BW,MATCH("성별",미니게임_DATA!$A$3:$BW$3,0),0)</f>
        <v>남</v>
      </c>
      <c r="T29" s="185">
        <f>MAX(  VLOOKUP(V29,'미니게임_DATA(순)'!$A$5:$EV$38,74,0),VLOOKUP(D29,'미니게임_DATA(순)'!$A$5:$EV$38,75,0), VLOOKUP(D29,'미니게임_DATA(순)'!$A$5:$EV$38,76,0))</f>
        <v>182</v>
      </c>
      <c r="U29" s="186">
        <f>VLOOKUP(V29,'미니게임_DATA(순)'!$A$5:$EW$38,81,0)</f>
        <v>140</v>
      </c>
      <c r="V29" s="187" t="str">
        <f t="shared" si="2"/>
        <v>이수용</v>
      </c>
    </row>
    <row r="30" spans="3:23">
      <c r="C30" s="585"/>
      <c r="D30" s="197" t="s">
        <v>252</v>
      </c>
      <c r="E30" s="181">
        <f>IFERROR(VLOOKUP(D30,'미니게임_DATA(순)'!$A$5:$BX$38,74,0),0)</f>
        <v>163</v>
      </c>
      <c r="F30" s="564"/>
      <c r="G30" s="567"/>
      <c r="H30" s="181">
        <f>IFERROR(VLOOKUP(D30,'미니게임_DATA(순)'!$A$5:$BX$38,75,0),0)</f>
        <v>200</v>
      </c>
      <c r="I30" s="564"/>
      <c r="J30" s="567"/>
      <c r="K30" s="181">
        <f>IFERROR(VLOOKUP(D30,'미니게임_DATA(순)'!$A$5:$BX$38,76,0),0)</f>
        <v>201</v>
      </c>
      <c r="L30" s="564"/>
      <c r="M30" s="567"/>
      <c r="N30" s="182">
        <f t="shared" ref="N30:N33" si="15">E30+H30+K30</f>
        <v>564</v>
      </c>
      <c r="O30" s="189">
        <f t="shared" ref="O30:O32" si="16">N30/3</f>
        <v>188</v>
      </c>
      <c r="P30" s="580"/>
      <c r="Q30" s="583"/>
      <c r="R30" s="190">
        <f>IFERROR(O30-VLOOKUP(D30,미니게임_DATA!$A:$BW,MATCH("rct 10g avg",미니게임_DATA!$A$3:$BW$3,0),0),0)</f>
        <v>0</v>
      </c>
      <c r="S30" s="172" t="s">
        <v>156</v>
      </c>
      <c r="T30" s="185">
        <f>MAX(  VLOOKUP(V30,'미니게임_DATA(순)'!$A$5:$EV$38,74,0),VLOOKUP(D30,'미니게임_DATA(순)'!$A$5:$EV$38,75,0), VLOOKUP(D30,'미니게임_DATA(순)'!$A$5:$EV$38,76,0))</f>
        <v>201</v>
      </c>
      <c r="U30" s="186">
        <f>VLOOKUP(V30,'미니게임_DATA(순)'!$A$5:$EW$38,81,0)</f>
        <v>0</v>
      </c>
      <c r="V30" s="187" t="str">
        <f t="shared" si="2"/>
        <v>이유재</v>
      </c>
    </row>
    <row r="31" spans="3:23">
      <c r="C31" s="562"/>
      <c r="D31" s="188" t="s">
        <v>253</v>
      </c>
      <c r="E31" s="181">
        <f>IFERROR(VLOOKUP(D31,'미니게임_DATA(순)'!$A$5:$BX$38,74,0),0)</f>
        <v>0</v>
      </c>
      <c r="F31" s="564"/>
      <c r="G31" s="567"/>
      <c r="H31" s="181">
        <f>IFERROR(VLOOKUP(D31,'미니게임_DATA(순)'!$A$5:$BX$38,75,0),0)</f>
        <v>0</v>
      </c>
      <c r="I31" s="564"/>
      <c r="J31" s="567"/>
      <c r="K31" s="181">
        <f>IFERROR(VLOOKUP(D31,'미니게임_DATA(순)'!$A$5:$BX$38,76,0),0)</f>
        <v>0</v>
      </c>
      <c r="L31" s="564"/>
      <c r="M31" s="567"/>
      <c r="N31" s="182">
        <f t="shared" si="15"/>
        <v>0</v>
      </c>
      <c r="O31" s="189">
        <f t="shared" si="16"/>
        <v>0</v>
      </c>
      <c r="P31" s="580"/>
      <c r="Q31" s="583"/>
      <c r="R31" s="190">
        <f>IFERROR(O31-VLOOKUP(D31,미니게임_DATA!$A:$BW,MATCH("rct 10g avg",미니게임_DATA!$A$3:$BW$3,0),0),0)</f>
        <v>-129</v>
      </c>
      <c r="S31" s="172" t="str">
        <f>VLOOKUP(D31,미니게임_DATA!$A:$BW,MATCH("성별",미니게임_DATA!$A$3:$BW$3,0),0)</f>
        <v>남</v>
      </c>
      <c r="T31" s="185" t="e">
        <f>MAX(  VLOOKUP(V31,'미니게임_DATA(순)'!$A$5:$EV$38,74,0),VLOOKUP(D31,'미니게임_DATA(순)'!$A$5:$EV$38,75,0), VLOOKUP(D31,'미니게임_DATA(순)'!$A$5:$EV$38,76,0))</f>
        <v>#N/A</v>
      </c>
      <c r="U31" s="186" t="e">
        <f>VLOOKUP(V31,'미니게임_DATA(순)'!$A$5:$EW$38,81,0)</f>
        <v>#N/A</v>
      </c>
      <c r="V31" s="187" t="str">
        <f t="shared" si="2"/>
        <v>조헌우</v>
      </c>
    </row>
    <row r="32" spans="3:23">
      <c r="C32" s="562"/>
      <c r="D32" s="188"/>
      <c r="E32" s="182"/>
      <c r="F32" s="564"/>
      <c r="G32" s="567"/>
      <c r="H32" s="182"/>
      <c r="I32" s="564"/>
      <c r="J32" s="567"/>
      <c r="K32" s="181">
        <f>IFERROR(VLOOKUP(D32,'미니게임_DATA(순)'!$A$5:$BU$38,73,0),0)</f>
        <v>0</v>
      </c>
      <c r="L32" s="564"/>
      <c r="M32" s="567"/>
      <c r="N32" s="182">
        <f t="shared" si="15"/>
        <v>0</v>
      </c>
      <c r="O32" s="189">
        <f t="shared" si="16"/>
        <v>0</v>
      </c>
      <c r="P32" s="580"/>
      <c r="Q32" s="583"/>
      <c r="R32" s="190">
        <f>IFERROR(O32-VLOOKUP(D32,미니게임_DATA!$A:$BW,MATCH("rct 10g avg",미니게임_DATA!$A$3:$BW$3,0),0),0)</f>
        <v>0</v>
      </c>
      <c r="T32" s="185"/>
      <c r="U32" s="186"/>
      <c r="V32" s="187"/>
    </row>
    <row r="33" spans="2:24">
      <c r="C33" s="192"/>
      <c r="D33" s="193"/>
      <c r="E33" s="194">
        <f t="shared" ref="E33" si="17">SUMIF(E29:E32, "&gt;0")</f>
        <v>282</v>
      </c>
      <c r="F33" s="565"/>
      <c r="G33" s="568"/>
      <c r="H33" s="194">
        <f t="shared" ref="H33" si="18">SUMIF(H29:H32, "&gt;0")</f>
        <v>358</v>
      </c>
      <c r="I33" s="565"/>
      <c r="J33" s="568"/>
      <c r="K33" s="194">
        <f>SUMIF(K29:K32, "&gt;0")</f>
        <v>383</v>
      </c>
      <c r="L33" s="565"/>
      <c r="M33" s="568"/>
      <c r="N33" s="194">
        <f t="shared" si="15"/>
        <v>1023</v>
      </c>
      <c r="O33" s="195"/>
      <c r="P33" s="581"/>
      <c r="Q33" s="584"/>
      <c r="R33" s="196">
        <f>IFERROR(O33-VLOOKUP(D33,미니게임_DATA!$A:$BW,MATCH("rct 10g avg",미니게임_DATA!$A$3:$BW$3,0),0),0)</f>
        <v>0</v>
      </c>
      <c r="S33" s="185">
        <f>N33</f>
        <v>1023</v>
      </c>
      <c r="T33" s="185">
        <f>MAX(E33,H33,K33)</f>
        <v>383</v>
      </c>
      <c r="U33" s="186"/>
      <c r="V33" s="187">
        <f t="shared" si="2"/>
        <v>0</v>
      </c>
      <c r="W33" s="187">
        <f>SUM(E33,H33)</f>
        <v>640</v>
      </c>
    </row>
    <row r="34" spans="2:24">
      <c r="H34" s="170"/>
      <c r="R34" s="170"/>
    </row>
    <row r="35" spans="2:24" s="172" customFormat="1"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70"/>
      <c r="O35" s="171"/>
      <c r="P35" s="169"/>
      <c r="Q35" s="169"/>
      <c r="R35" s="170"/>
      <c r="U35" s="169"/>
      <c r="V35" s="169"/>
      <c r="W35" s="169"/>
      <c r="X35" s="169"/>
    </row>
    <row r="36" spans="2:24" s="172" customFormat="1"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70"/>
      <c r="O36" s="171"/>
      <c r="P36" s="169"/>
      <c r="Q36" s="169"/>
      <c r="R36" s="170"/>
      <c r="U36" s="169"/>
      <c r="V36" s="169"/>
      <c r="W36" s="169"/>
      <c r="X36" s="169"/>
    </row>
  </sheetData>
  <mergeCells count="53">
    <mergeCell ref="B2:B3"/>
    <mergeCell ref="B4:B5"/>
    <mergeCell ref="B6:B9"/>
    <mergeCell ref="D6:E6"/>
    <mergeCell ref="D7:E7"/>
    <mergeCell ref="D8:E8"/>
    <mergeCell ref="D9:E9"/>
    <mergeCell ref="R11:R13"/>
    <mergeCell ref="E12:G12"/>
    <mergeCell ref="H12:J12"/>
    <mergeCell ref="K12:M12"/>
    <mergeCell ref="C14:C17"/>
    <mergeCell ref="F14:F18"/>
    <mergeCell ref="G14:G18"/>
    <mergeCell ref="I14:I18"/>
    <mergeCell ref="J14:J18"/>
    <mergeCell ref="L14:L18"/>
    <mergeCell ref="C11:C13"/>
    <mergeCell ref="D11:D13"/>
    <mergeCell ref="E11:K11"/>
    <mergeCell ref="N11:N13"/>
    <mergeCell ref="O11:O13"/>
    <mergeCell ref="P11:Q12"/>
    <mergeCell ref="P24:P28"/>
    <mergeCell ref="Q24:Q28"/>
    <mergeCell ref="C19:C22"/>
    <mergeCell ref="F19:F23"/>
    <mergeCell ref="G19:G23"/>
    <mergeCell ref="I19:I23"/>
    <mergeCell ref="J19:J23"/>
    <mergeCell ref="M14:M18"/>
    <mergeCell ref="P14:P18"/>
    <mergeCell ref="Q14:Q18"/>
    <mergeCell ref="L19:L23"/>
    <mergeCell ref="M19:M23"/>
    <mergeCell ref="P19:P23"/>
    <mergeCell ref="Q19:Q23"/>
    <mergeCell ref="L29:L33"/>
    <mergeCell ref="M29:M33"/>
    <mergeCell ref="P29:P33"/>
    <mergeCell ref="Q29:Q33"/>
    <mergeCell ref="C24:C27"/>
    <mergeCell ref="F24:F28"/>
    <mergeCell ref="G24:G28"/>
    <mergeCell ref="C29:C32"/>
    <mergeCell ref="F29:F33"/>
    <mergeCell ref="G29:G33"/>
    <mergeCell ref="I29:I33"/>
    <mergeCell ref="J29:J33"/>
    <mergeCell ref="I24:I28"/>
    <mergeCell ref="J24:J28"/>
    <mergeCell ref="L24:L28"/>
    <mergeCell ref="M24:M28"/>
  </mergeCells>
  <phoneticPr fontId="2" type="noConversion"/>
  <conditionalFormatting sqref="F38:G1048576 G34:G37 F1:G13 I1:J13 L1:M13 L34:M1048576 I34:J1048576">
    <cfRule type="cellIs" dxfId="77" priority="5" operator="equal">
      <formula>1</formula>
    </cfRule>
  </conditionalFormatting>
  <conditionalFormatting sqref="M14:M33">
    <cfRule type="cellIs" dxfId="76" priority="3" operator="equal">
      <formula>1</formula>
    </cfRule>
  </conditionalFormatting>
  <conditionalFormatting sqref="F14:G14 F19:G19 G15:G18 G30:G33 F29:G29 G25:G28 F24:G24 G20:G23">
    <cfRule type="cellIs" dxfId="75" priority="4" operator="equal">
      <formula>1</formula>
    </cfRule>
  </conditionalFormatting>
  <conditionalFormatting sqref="I14:J14 I19 I29 I24 J15:J33">
    <cfRule type="cellIs" dxfId="74" priority="2" operator="equal">
      <formula>1</formula>
    </cfRule>
  </conditionalFormatting>
  <conditionalFormatting sqref="L14 L19 L29 L24">
    <cfRule type="cellIs" dxfId="73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6"/>
  <sheetViews>
    <sheetView showGridLines="0" zoomScaleNormal="100" workbookViewId="0">
      <selection activeCell="Z16" sqref="Z16"/>
    </sheetView>
  </sheetViews>
  <sheetFormatPr defaultColWidth="9" defaultRowHeight="13.5"/>
  <cols>
    <col min="1" max="5" width="9" style="169"/>
    <col min="6" max="7" width="5.375" style="169" customWidth="1"/>
    <col min="8" max="8" width="9" style="169"/>
    <col min="9" max="10" width="5.375" style="169" customWidth="1"/>
    <col min="11" max="11" width="9" style="169"/>
    <col min="12" max="13" width="5.375" style="169" customWidth="1"/>
    <col min="14" max="14" width="9" style="170"/>
    <col min="15" max="15" width="9.375" style="171" bestFit="1" customWidth="1"/>
    <col min="16" max="18" width="9" style="169"/>
    <col min="19" max="20" width="9" style="172" hidden="1" customWidth="1"/>
    <col min="21" max="23" width="9" style="169" hidden="1" customWidth="1"/>
    <col min="24" max="16384" width="9" style="169"/>
  </cols>
  <sheetData>
    <row r="2" spans="2:24">
      <c r="B2" s="550" t="s">
        <v>154</v>
      </c>
      <c r="C2" s="166" t="s">
        <v>156</v>
      </c>
      <c r="D2" s="167" t="e">
        <f>VLOOKUP(E2,$T$14:$V$33,3,0)</f>
        <v>#N/A</v>
      </c>
      <c r="E2" s="168" t="e">
        <f t="array" ref="E2">MAX(IF($S$14:$S$33="남",$T$14:$T$33))</f>
        <v>#N/A</v>
      </c>
    </row>
    <row r="3" spans="2:24">
      <c r="B3" s="551"/>
      <c r="C3" s="166" t="s">
        <v>157</v>
      </c>
      <c r="D3" s="167" t="e">
        <f>VLOOKUP(E3,$T$14:$V$33,3,0)</f>
        <v>#N/A</v>
      </c>
      <c r="E3" s="173" t="e">
        <f t="array" ref="E3">MAX(IF($S$14:$S$33="여",$T$14:$T$33))</f>
        <v>#N/A</v>
      </c>
    </row>
    <row r="4" spans="2:24">
      <c r="B4" s="550" t="s">
        <v>158</v>
      </c>
      <c r="C4" s="166" t="s">
        <v>156</v>
      </c>
      <c r="D4" s="167" t="e">
        <f>VLOOKUP(E4,$U$14:$V$33,2,0)</f>
        <v>#N/A</v>
      </c>
      <c r="E4" s="168" t="e">
        <f t="array" ref="E4">MAX(IF($S$14:$S$33="남",$U$14:$U$33))</f>
        <v>#N/A</v>
      </c>
    </row>
    <row r="5" spans="2:24">
      <c r="B5" s="551"/>
      <c r="C5" s="166" t="s">
        <v>157</v>
      </c>
      <c r="D5" s="167" t="e">
        <f>VLOOKUP(E5,$U$14:$V$33,2,0)</f>
        <v>#N/A</v>
      </c>
      <c r="E5" s="173" t="e">
        <f t="array" ref="E5">MAX(IF($S$14:$S$33="여",$U$14:$U$33))</f>
        <v>#N/A</v>
      </c>
    </row>
    <row r="6" spans="2:24" ht="16.5">
      <c r="B6" s="550" t="s">
        <v>224</v>
      </c>
      <c r="C6" s="235" t="s">
        <v>154</v>
      </c>
      <c r="D6" s="554" t="s">
        <v>239</v>
      </c>
      <c r="E6" s="472"/>
    </row>
    <row r="7" spans="2:24" ht="16.5">
      <c r="B7" s="552"/>
      <c r="C7" s="235" t="s">
        <v>226</v>
      </c>
      <c r="D7" s="554" t="s">
        <v>239</v>
      </c>
      <c r="E7" s="472"/>
    </row>
    <row r="8" spans="2:24" ht="16.5">
      <c r="B8" s="557"/>
      <c r="C8" s="235" t="s">
        <v>227</v>
      </c>
      <c r="D8" s="554" t="s">
        <v>11</v>
      </c>
      <c r="E8" s="472"/>
    </row>
    <row r="9" spans="2:24" ht="16.5">
      <c r="B9" s="553"/>
      <c r="C9" s="166" t="s">
        <v>229</v>
      </c>
      <c r="D9" s="554" t="s">
        <v>239</v>
      </c>
      <c r="E9" s="472"/>
    </row>
    <row r="11" spans="2:24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174"/>
      <c r="M11" s="174"/>
      <c r="N11" s="569" t="s">
        <v>142</v>
      </c>
      <c r="O11" s="572" t="s">
        <v>184</v>
      </c>
      <c r="P11" s="575" t="s">
        <v>169</v>
      </c>
      <c r="Q11" s="576"/>
      <c r="R11" s="540" t="s">
        <v>143</v>
      </c>
    </row>
    <row r="12" spans="2:24">
      <c r="C12" s="543"/>
      <c r="D12" s="543"/>
      <c r="E12" s="544">
        <v>1</v>
      </c>
      <c r="F12" s="545"/>
      <c r="G12" s="560"/>
      <c r="H12" s="544">
        <v>2</v>
      </c>
      <c r="I12" s="545"/>
      <c r="J12" s="560"/>
      <c r="K12" s="544">
        <v>3</v>
      </c>
      <c r="L12" s="545"/>
      <c r="M12" s="560"/>
      <c r="N12" s="570"/>
      <c r="O12" s="573"/>
      <c r="P12" s="577"/>
      <c r="Q12" s="578"/>
      <c r="R12" s="558"/>
      <c r="X12" s="172"/>
    </row>
    <row r="13" spans="2:24" ht="27">
      <c r="C13" s="543"/>
      <c r="D13" s="543"/>
      <c r="E13" s="175" t="s">
        <v>150</v>
      </c>
      <c r="F13" s="176" t="s">
        <v>152</v>
      </c>
      <c r="G13" s="177" t="s">
        <v>153</v>
      </c>
      <c r="H13" s="175" t="s">
        <v>150</v>
      </c>
      <c r="I13" s="176" t="s">
        <v>152</v>
      </c>
      <c r="J13" s="177" t="s">
        <v>153</v>
      </c>
      <c r="K13" s="175" t="s">
        <v>150</v>
      </c>
      <c r="L13" s="176" t="s">
        <v>152</v>
      </c>
      <c r="M13" s="177" t="s">
        <v>153</v>
      </c>
      <c r="N13" s="571"/>
      <c r="O13" s="574"/>
      <c r="P13" s="178" t="s">
        <v>144</v>
      </c>
      <c r="Q13" s="241" t="s">
        <v>168</v>
      </c>
      <c r="R13" s="559"/>
      <c r="T13" s="172" t="s">
        <v>170</v>
      </c>
      <c r="U13" s="169" t="s">
        <v>171</v>
      </c>
    </row>
    <row r="14" spans="2:24">
      <c r="C14" s="561" t="s">
        <v>145</v>
      </c>
      <c r="D14" s="180" t="s">
        <v>41</v>
      </c>
      <c r="E14" s="181">
        <f>IFERROR(VLOOKUP(D14,'미니게임_DATA(순)'!$A$5:$BU$38,71,0),0)+25</f>
        <v>25</v>
      </c>
      <c r="F14" s="563">
        <f>RANK(E18,($E$18,$E$23,$E$28,$E$33))</f>
        <v>4</v>
      </c>
      <c r="G14" s="566">
        <f>F14</f>
        <v>4</v>
      </c>
      <c r="H14" s="181">
        <f>IFERROR(VLOOKUP(D14,'미니게임_DATA(순)'!$A$5:$BU$38,72,0),0)+25</f>
        <v>25</v>
      </c>
      <c r="I14" s="563">
        <f>RANK(H18,($H$18,$H$23,$H$28,$H$33))</f>
        <v>4</v>
      </c>
      <c r="J14" s="566">
        <f>RANK(W18,($W$18,$W$23,$W$28,$W$33))</f>
        <v>4</v>
      </c>
      <c r="K14" s="181">
        <f>IFERROR(VLOOKUP(D14,'미니게임_DATA(순)'!$A$5:$BU$38,73,0),0)+25</f>
        <v>25</v>
      </c>
      <c r="L14" s="563">
        <f>RANK(K18,($K$18,$K$23,$K$28,$K$33))</f>
        <v>4</v>
      </c>
      <c r="M14" s="566">
        <f>P14</f>
        <v>4</v>
      </c>
      <c r="N14" s="181">
        <f>E14+H14+K14</f>
        <v>75</v>
      </c>
      <c r="O14" s="183">
        <f>N14/3</f>
        <v>25</v>
      </c>
      <c r="P14" s="579">
        <f>RANK(N18,($N$18,$N$23,$N$28,$N$33))</f>
        <v>4</v>
      </c>
      <c r="Q14" s="586">
        <f>MAX($N$18,$N$23,N$28,N$33)-N18</f>
        <v>426</v>
      </c>
      <c r="R14" s="184">
        <f>IFERROR(O14-VLOOKUP(D14,미니게임_DATA!$A:$BW,MATCH("rct 10g avg",미니게임_DATA!$A$3:$BW$3,0),0),0)-20</f>
        <v>-124</v>
      </c>
      <c r="S14" s="172" t="str">
        <f>VLOOKUP(D14,미니게임_DATA!$A:$BW,MATCH("성별",미니게임_DATA!$A$3:$BW$3,0),0)</f>
        <v>남</v>
      </c>
      <c r="T14" s="185" t="e">
        <f>MAX(  VLOOKUP(V14,'미니게임_DATA(순)'!$A$5:$BU$38,71,0),VLOOKUP(D14,'미니게임_DATA(순)'!$A$5:$BU$38,72,0), VLOOKUP(D14,'미니게임_DATA(순)'!$A$5:$BU$38,73,0))</f>
        <v>#N/A</v>
      </c>
      <c r="U14" s="186" t="e">
        <f>VLOOKUP(V14,'미니게임_DATA(순)'!$A$5:$EW$38,78,0)</f>
        <v>#N/A</v>
      </c>
      <c r="V14" s="187" t="str">
        <f>D14</f>
        <v>조헌우</v>
      </c>
    </row>
    <row r="15" spans="2:24">
      <c r="C15" s="562"/>
      <c r="D15" s="188" t="s">
        <v>22</v>
      </c>
      <c r="E15" s="181">
        <f>IFERROR(VLOOKUP(D15,'미니게임_DATA(순)'!$A$5:$BU$38,71,0),0)</f>
        <v>121</v>
      </c>
      <c r="F15" s="564"/>
      <c r="G15" s="567"/>
      <c r="H15" s="181">
        <f>IFERROR(VLOOKUP(D15,'미니게임_DATA(순)'!$A$5:$BU$38,72,0),0)</f>
        <v>148</v>
      </c>
      <c r="I15" s="564"/>
      <c r="J15" s="567"/>
      <c r="K15" s="181">
        <f>IFERROR(VLOOKUP(D15,'미니게임_DATA(순)'!$A$5:$BU$38,73,0),0)</f>
        <v>103</v>
      </c>
      <c r="L15" s="564"/>
      <c r="M15" s="567"/>
      <c r="N15" s="182">
        <f t="shared" ref="N15:N18" si="0">E15+H15+K15</f>
        <v>372</v>
      </c>
      <c r="O15" s="189">
        <f t="shared" ref="O15:O17" si="1">N15/3</f>
        <v>124</v>
      </c>
      <c r="P15" s="580"/>
      <c r="Q15" s="587"/>
      <c r="R15" s="190">
        <f>IFERROR(O15-VLOOKUP(D15,미니게임_DATA!$A:$BW,MATCH("rct 10g avg",미니게임_DATA!$A$3:$BW$3,0),0),0)</f>
        <v>-19.400000000000006</v>
      </c>
      <c r="S15" s="172" t="str">
        <f>VLOOKUP(D15,미니게임_DATA!$A:$BW,MATCH("성별",미니게임_DATA!$A$3:$BW$3,0),0)</f>
        <v>남</v>
      </c>
      <c r="T15" s="185">
        <f>MAX(  VLOOKUP(V15,'미니게임_DATA(순)'!$A$5:$BU$38,71,0),VLOOKUP(D15,'미니게임_DATA(순)'!$A$5:$BU$38,72,0), VLOOKUP(D15,'미니게임_DATA(순)'!$A$5:$BU$38,73,0))</f>
        <v>148</v>
      </c>
      <c r="U15" s="186">
        <f>VLOOKUP(V15,'미니게임_DATA(순)'!$A$5:$EW$38,78,0)</f>
        <v>198</v>
      </c>
      <c r="V15" s="187" t="str">
        <f t="shared" ref="V15:V33" si="2">D15</f>
        <v>이강은</v>
      </c>
    </row>
    <row r="16" spans="2:24">
      <c r="C16" s="562"/>
      <c r="D16" s="188" t="s">
        <v>38</v>
      </c>
      <c r="E16" s="181">
        <f>IFERROR(VLOOKUP(D16,'미니게임_DATA(순)'!$A$5:$BU$38,71,0),0)</f>
        <v>160</v>
      </c>
      <c r="F16" s="564"/>
      <c r="G16" s="567"/>
      <c r="H16" s="181">
        <f>IFERROR(VLOOKUP(D16,'미니게임_DATA(순)'!$A$5:$BU$38,72,0),0)</f>
        <v>160</v>
      </c>
      <c r="I16" s="564"/>
      <c r="J16" s="567"/>
      <c r="K16" s="181">
        <f>IFERROR(VLOOKUP(D16,'미니게임_DATA(순)'!$A$5:$BU$38,73,0),0)</f>
        <v>159</v>
      </c>
      <c r="L16" s="564"/>
      <c r="M16" s="567"/>
      <c r="N16" s="182">
        <f t="shared" si="0"/>
        <v>479</v>
      </c>
      <c r="O16" s="189">
        <f t="shared" si="1"/>
        <v>159.66666666666666</v>
      </c>
      <c r="P16" s="580"/>
      <c r="Q16" s="587"/>
      <c r="R16" s="190">
        <f>IFERROR(O16-VLOOKUP(D16,미니게임_DATA!$A:$BW,MATCH("rct 10g avg",미니게임_DATA!$A$3:$BW$3,0),0),0)</f>
        <v>-3.2333333333333485</v>
      </c>
      <c r="S16" s="172" t="str">
        <f>VLOOKUP(D16,미니게임_DATA!$A:$BW,MATCH("성별",미니게임_DATA!$A$3:$BW$3,0),0)</f>
        <v>남</v>
      </c>
      <c r="T16" s="185">
        <f>MAX(  VLOOKUP(V16,'미니게임_DATA(순)'!$A$5:$BU$38,71,0),VLOOKUP(D16,'미니게임_DATA(순)'!$A$5:$BU$38,72,0), VLOOKUP(D16,'미니게임_DATA(순)'!$A$5:$BU$38,73,0))</f>
        <v>160</v>
      </c>
      <c r="U16" s="186">
        <f>VLOOKUP(V16,'미니게임_DATA(순)'!$A$5:$EW$38,78,0)</f>
        <v>183</v>
      </c>
      <c r="V16" s="187" t="str">
        <f t="shared" si="2"/>
        <v>이수용</v>
      </c>
    </row>
    <row r="17" spans="3:23">
      <c r="C17" s="562"/>
      <c r="D17" s="191"/>
      <c r="E17" s="182"/>
      <c r="F17" s="564"/>
      <c r="G17" s="567"/>
      <c r="H17" s="182"/>
      <c r="I17" s="564"/>
      <c r="J17" s="567"/>
      <c r="K17" s="182"/>
      <c r="L17" s="564"/>
      <c r="M17" s="567"/>
      <c r="N17" s="182">
        <f t="shared" si="0"/>
        <v>0</v>
      </c>
      <c r="O17" s="189">
        <f t="shared" si="1"/>
        <v>0</v>
      </c>
      <c r="P17" s="580"/>
      <c r="Q17" s="587"/>
      <c r="R17" s="190">
        <f>IFERROR(O17-VLOOKUP(D17,미니게임_DATA!$A:$BW,MATCH("rct 10g avg",미니게임_DATA!$A$3:$BW$3,0),0),0)</f>
        <v>0</v>
      </c>
      <c r="T17" s="185"/>
      <c r="U17" s="186"/>
      <c r="V17" s="187"/>
    </row>
    <row r="18" spans="3:23">
      <c r="C18" s="192"/>
      <c r="D18" s="193"/>
      <c r="E18" s="194">
        <f>SUMIF(E14:E17, "&gt;0")</f>
        <v>306</v>
      </c>
      <c r="F18" s="565"/>
      <c r="G18" s="568"/>
      <c r="H18" s="194">
        <f>SUMIF(H14:H17, "&gt;0")</f>
        <v>333</v>
      </c>
      <c r="I18" s="565"/>
      <c r="J18" s="568"/>
      <c r="K18" s="194">
        <f>SUMIF(K14:K17, "&gt;0")</f>
        <v>287</v>
      </c>
      <c r="L18" s="565"/>
      <c r="M18" s="568"/>
      <c r="N18" s="194">
        <f t="shared" si="0"/>
        <v>926</v>
      </c>
      <c r="O18" s="195"/>
      <c r="P18" s="581"/>
      <c r="Q18" s="588"/>
      <c r="R18" s="196">
        <f>IFERROR(O18-VLOOKUP(D18,미니게임_DATA!$A:$BW,MATCH("rct 10g avg",미니게임_DATA!$A$3:$BW$3,0),0),0)</f>
        <v>0</v>
      </c>
      <c r="S18" s="185">
        <f>N18</f>
        <v>926</v>
      </c>
      <c r="T18" s="185">
        <f>MAX(E18,H18,K18)</f>
        <v>333</v>
      </c>
      <c r="U18" s="186"/>
      <c r="V18" s="187">
        <f t="shared" si="2"/>
        <v>0</v>
      </c>
      <c r="W18" s="187">
        <f>SUM(E18,H18)</f>
        <v>639</v>
      </c>
    </row>
    <row r="19" spans="3:23">
      <c r="C19" s="561" t="s">
        <v>146</v>
      </c>
      <c r="D19" s="180" t="s">
        <v>12</v>
      </c>
      <c r="E19" s="181">
        <f>IFERROR(VLOOKUP(D19,'미니게임_DATA(순)'!$A$5:$BU$38,71,0),0)</f>
        <v>144</v>
      </c>
      <c r="F19" s="563">
        <f>RANK(E23,($E$18,$E$23,$E$28,$E$33))</f>
        <v>2</v>
      </c>
      <c r="G19" s="566">
        <f t="shared" ref="G19" si="3">F19</f>
        <v>2</v>
      </c>
      <c r="H19" s="181">
        <f>IFERROR(VLOOKUP(D19,'미니게임_DATA(순)'!$A$5:$BU$38,72,0),0)</f>
        <v>144</v>
      </c>
      <c r="I19" s="563">
        <f>RANK(H23,($H$18,$H$23,$H$28,$H$33))</f>
        <v>3</v>
      </c>
      <c r="J19" s="566">
        <f>RANK(W23,($W$18,$W$23,$W$28,$W$33))</f>
        <v>2</v>
      </c>
      <c r="K19" s="181">
        <f>IFERROR(VLOOKUP(D19,'미니게임_DATA(순)'!$A$5:$BU$38,73,0),0)</f>
        <v>140</v>
      </c>
      <c r="L19" s="563">
        <f>RANK(K23,($K$18,$K$23,$K$28,$K$33))</f>
        <v>3</v>
      </c>
      <c r="M19" s="566">
        <f t="shared" ref="M19" si="4">P19</f>
        <v>3</v>
      </c>
      <c r="N19" s="181">
        <f>E19+H19+K19</f>
        <v>428</v>
      </c>
      <c r="O19" s="183">
        <f>N19/3</f>
        <v>142.66666666666666</v>
      </c>
      <c r="P19" s="579">
        <f>RANK(N23,($N$18,$N$23,$N$28,$N$33))</f>
        <v>3</v>
      </c>
      <c r="Q19" s="582">
        <f>MAX($N$18,$N$23,N$28,N$33)-N23</f>
        <v>336</v>
      </c>
      <c r="R19" s="184">
        <f>IFERROR(O19-VLOOKUP(D19,미니게임_DATA!$A:$BW,MATCH("rct 10g avg",미니게임_DATA!$A$3:$BW$3,0),0),0)-25</f>
        <v>-36.133333333333354</v>
      </c>
      <c r="S19" s="172" t="str">
        <f>VLOOKUP(D19,미니게임_DATA!$A:$BW,MATCH("성별",미니게임_DATA!$A$3:$BW$3,0),0)</f>
        <v>여</v>
      </c>
      <c r="T19" s="185">
        <f>MAX(  VLOOKUP(V19,'미니게임_DATA(순)'!$A$5:$BU$38,71,0),VLOOKUP(D19,'미니게임_DATA(순)'!$A$5:$BU$38,72,0), VLOOKUP(D19,'미니게임_DATA(순)'!$A$5:$BU$38,73,0))</f>
        <v>144</v>
      </c>
      <c r="U19" s="186">
        <f>VLOOKUP(V19,'미니게임_DATA(순)'!$A$5:$EW$38,78,0)</f>
        <v>144</v>
      </c>
      <c r="V19" s="187" t="str">
        <f t="shared" si="2"/>
        <v>성소라</v>
      </c>
    </row>
    <row r="20" spans="3:23">
      <c r="C20" s="585"/>
      <c r="D20" s="197" t="s">
        <v>23</v>
      </c>
      <c r="E20" s="181">
        <f>IFERROR(VLOOKUP(D20,'미니게임_DATA(순)'!$A$5:$BU$38,71,0),0)</f>
        <v>201</v>
      </c>
      <c r="F20" s="564"/>
      <c r="G20" s="567"/>
      <c r="H20" s="181">
        <f>IFERROR(VLOOKUP(D20,'미니게임_DATA(순)'!$A$5:$BU$38,72,0),0)</f>
        <v>192</v>
      </c>
      <c r="I20" s="564"/>
      <c r="J20" s="567"/>
      <c r="K20" s="181">
        <f>IFERROR(VLOOKUP(D20,'미니게임_DATA(순)'!$A$5:$BU$38,73,0),0)</f>
        <v>195</v>
      </c>
      <c r="L20" s="564"/>
      <c r="M20" s="567"/>
      <c r="N20" s="182">
        <f t="shared" ref="N20:N22" si="5">E20+H20+K20</f>
        <v>588</v>
      </c>
      <c r="O20" s="189">
        <f t="shared" ref="O20:O22" si="6">N20/3</f>
        <v>196</v>
      </c>
      <c r="P20" s="580"/>
      <c r="Q20" s="583"/>
      <c r="R20" s="190">
        <f>IFERROR(O20-VLOOKUP(D20,미니게임_DATA!$A:$BW,MATCH("rct 10g avg",미니게임_DATA!$A$3:$BW$3,0),0),0)</f>
        <v>12.800000000000011</v>
      </c>
      <c r="S20" s="172" t="str">
        <f>VLOOKUP(D20,미니게임_DATA!$A:$BW,MATCH("성별",미니게임_DATA!$A$3:$BW$3,0),0)</f>
        <v>남</v>
      </c>
      <c r="T20" s="185">
        <f>MAX(  VLOOKUP(V20,'미니게임_DATA(순)'!$A$5:$BU$38,71,0),VLOOKUP(D20,'미니게임_DATA(순)'!$A$5:$BU$38,72,0), VLOOKUP(D20,'미니게임_DATA(순)'!$A$5:$BU$38,73,0))</f>
        <v>201</v>
      </c>
      <c r="U20" s="186">
        <f>VLOOKUP(V20,'미니게임_DATA(순)'!$A$5:$EW$38,78,0)</f>
        <v>186</v>
      </c>
      <c r="V20" s="187" t="str">
        <f t="shared" si="2"/>
        <v>천재복</v>
      </c>
    </row>
    <row r="21" spans="3:23">
      <c r="C21" s="562"/>
      <c r="D21" s="188" t="s">
        <v>37</v>
      </c>
      <c r="E21" s="181">
        <f>IFERROR(VLOOKUP(D21,'미니게임_DATA(순)'!$A$5:$BU$38,71,0),0)</f>
        <v>0</v>
      </c>
      <c r="F21" s="564"/>
      <c r="G21" s="567"/>
      <c r="H21" s="181">
        <f>IFERROR(VLOOKUP(D21,'미니게임_DATA(순)'!$A$5:$BU$38,72,0),0)</f>
        <v>0</v>
      </c>
      <c r="I21" s="564"/>
      <c r="J21" s="567"/>
      <c r="K21" s="181">
        <f>IFERROR(VLOOKUP(D21,'미니게임_DATA(순)'!$A$5:$BU$38,73,0),0)</f>
        <v>0</v>
      </c>
      <c r="L21" s="564"/>
      <c r="M21" s="567"/>
      <c r="N21" s="182">
        <f t="shared" si="5"/>
        <v>0</v>
      </c>
      <c r="O21" s="189">
        <f t="shared" si="6"/>
        <v>0</v>
      </c>
      <c r="P21" s="580"/>
      <c r="Q21" s="583"/>
      <c r="R21" s="190">
        <f>IFERROR(O21-VLOOKUP(D21,미니게임_DATA!$A:$BW,MATCH("rct 10g avg",미니게임_DATA!$A$3:$BW$3,0),0),0)</f>
        <v>-178.8</v>
      </c>
      <c r="S21" s="172" t="str">
        <f>VLOOKUP(D21,미니게임_DATA!$A:$BW,MATCH("성별",미니게임_DATA!$A$3:$BW$3,0),0)</f>
        <v>남</v>
      </c>
      <c r="T21" s="185" t="e">
        <f>MAX(  VLOOKUP(V21,'미니게임_DATA(순)'!$A$5:$BU$38,71,0),VLOOKUP(D21,'미니게임_DATA(순)'!$A$5:$BU$38,72,0), VLOOKUP(D21,'미니게임_DATA(순)'!$A$5:$BU$38,73,0))</f>
        <v>#N/A</v>
      </c>
      <c r="U21" s="186" t="e">
        <f>VLOOKUP(V21,'미니게임_DATA(순)'!$A$5:$EW$38,78,0)</f>
        <v>#N/A</v>
      </c>
      <c r="V21" s="187" t="str">
        <f t="shared" si="2"/>
        <v>최은규</v>
      </c>
    </row>
    <row r="22" spans="3:23">
      <c r="C22" s="562"/>
      <c r="D22" s="188"/>
      <c r="E22" s="182"/>
      <c r="F22" s="564"/>
      <c r="G22" s="567"/>
      <c r="H22" s="182"/>
      <c r="I22" s="564"/>
      <c r="J22" s="567"/>
      <c r="K22" s="182"/>
      <c r="L22" s="564"/>
      <c r="M22" s="567"/>
      <c r="N22" s="182">
        <f t="shared" si="5"/>
        <v>0</v>
      </c>
      <c r="O22" s="189">
        <f t="shared" si="6"/>
        <v>0</v>
      </c>
      <c r="P22" s="580"/>
      <c r="Q22" s="583"/>
      <c r="R22" s="190">
        <f>IFERROR(O22-VLOOKUP(D22,미니게임_DATA!$A:$BW,MATCH("rct 10g avg",미니게임_DATA!$A$3:$BW$3,0),0),0)</f>
        <v>0</v>
      </c>
      <c r="T22" s="185"/>
      <c r="U22" s="186"/>
      <c r="V22" s="187"/>
    </row>
    <row r="23" spans="3:23">
      <c r="C23" s="192"/>
      <c r="D23" s="193"/>
      <c r="E23" s="194">
        <f t="shared" ref="E23" si="7">SUMIF(E19:E22, "&gt;0")</f>
        <v>345</v>
      </c>
      <c r="F23" s="565"/>
      <c r="G23" s="568"/>
      <c r="H23" s="194">
        <f t="shared" ref="H23" si="8">SUMIF(H19:H22, "&gt;0")</f>
        <v>336</v>
      </c>
      <c r="I23" s="565"/>
      <c r="J23" s="568"/>
      <c r="K23" s="194">
        <f>SUMIF(K19:K22, "&gt;0")</f>
        <v>335</v>
      </c>
      <c r="L23" s="565"/>
      <c r="M23" s="568"/>
      <c r="N23" s="194">
        <f>E23+H23+K23</f>
        <v>1016</v>
      </c>
      <c r="O23" s="195"/>
      <c r="P23" s="581"/>
      <c r="Q23" s="584"/>
      <c r="R23" s="196">
        <f>IFERROR(O23-VLOOKUP(D23,미니게임_DATA!$A:$BW,MATCH("rct 10g avg",미니게임_DATA!$A$3:$BW$3,0),0),0)</f>
        <v>0</v>
      </c>
      <c r="S23" s="185">
        <f>N23</f>
        <v>1016</v>
      </c>
      <c r="T23" s="185">
        <f>MAX(E23,H23,K23)</f>
        <v>345</v>
      </c>
      <c r="U23" s="186"/>
      <c r="V23" s="187">
        <f t="shared" si="2"/>
        <v>0</v>
      </c>
      <c r="W23" s="187">
        <f>SUM(E23,H23)</f>
        <v>681</v>
      </c>
    </row>
    <row r="24" spans="3:23">
      <c r="C24" s="561" t="s">
        <v>147</v>
      </c>
      <c r="D24" s="180" t="s">
        <v>10</v>
      </c>
      <c r="E24" s="181">
        <f>IFERROR(VLOOKUP(D24,'미니게임_DATA(순)'!$A$5:$BU$38,71,0),0)</f>
        <v>158</v>
      </c>
      <c r="F24" s="563">
        <f>RANK(E28,($E$18,$E$23,$E$28,$E$33))</f>
        <v>3</v>
      </c>
      <c r="G24" s="566">
        <f t="shared" ref="G24" si="9">F24</f>
        <v>3</v>
      </c>
      <c r="H24" s="181">
        <f>IFERROR(VLOOKUP(D24,'미니게임_DATA(순)'!$A$5:$BU$38,72,0),0)</f>
        <v>177</v>
      </c>
      <c r="I24" s="563">
        <f>RANK(H28,($H$18,$H$23,$H$28,$H$33))</f>
        <v>2</v>
      </c>
      <c r="J24" s="566">
        <f>RANK(W28,($W$18,$W$23,$W$28,$W$33))</f>
        <v>3</v>
      </c>
      <c r="K24" s="181">
        <f>IFERROR(VLOOKUP(D24,'미니게임_DATA(순)'!$A$5:$BU$38,73,0),0)</f>
        <v>124</v>
      </c>
      <c r="L24" s="563">
        <f>RANK(K28,($K$18,$K$23,$K$28,$K$33))</f>
        <v>2</v>
      </c>
      <c r="M24" s="566">
        <f t="shared" ref="M24" si="10">P24</f>
        <v>2</v>
      </c>
      <c r="N24" s="181">
        <f>E24+H24+K24</f>
        <v>459</v>
      </c>
      <c r="O24" s="183">
        <f>N24/3</f>
        <v>153</v>
      </c>
      <c r="P24" s="579">
        <f>RANK(N28,($N$18,$N$23,$N$28,$N$33))</f>
        <v>2</v>
      </c>
      <c r="Q24" s="582">
        <f>MAX($N$18,$N$23,N$28,N$33)-N28</f>
        <v>323</v>
      </c>
      <c r="R24" s="184">
        <f>IFERROR(O24-VLOOKUP(D24,미니게임_DATA!$A:$BW,MATCH("rct 10g avg",미니게임_DATA!$A$3:$BW$3,0),0),0)-15</f>
        <v>-30.199999999999989</v>
      </c>
      <c r="S24" s="172" t="str">
        <f>VLOOKUP(D24,미니게임_DATA!$A:$BW,MATCH("성별",미니게임_DATA!$A$3:$BW$3,0),0)</f>
        <v>남</v>
      </c>
      <c r="T24" s="185">
        <f>MAX(  VLOOKUP(V24,'미니게임_DATA(순)'!$A$5:$BU$38,71,0),VLOOKUP(D24,'미니게임_DATA(순)'!$A$5:$BU$38,72,0), VLOOKUP(D24,'미니게임_DATA(순)'!$A$5:$BU$38,73,0))</f>
        <v>177</v>
      </c>
      <c r="U24" s="186">
        <f>VLOOKUP(V24,'미니게임_DATA(순)'!$A$5:$EW$38,78,0)</f>
        <v>152</v>
      </c>
      <c r="V24" s="187" t="str">
        <f t="shared" si="2"/>
        <v>김신철</v>
      </c>
    </row>
    <row r="25" spans="3:23">
      <c r="C25" s="562"/>
      <c r="D25" s="188" t="s">
        <v>21</v>
      </c>
      <c r="E25" s="181">
        <f>IFERROR(VLOOKUP(D25,'미니게임_DATA(순)'!$A$5:$BU$38,71,0),0)+30</f>
        <v>30</v>
      </c>
      <c r="F25" s="564"/>
      <c r="G25" s="567"/>
      <c r="H25" s="181">
        <f>IFERROR(VLOOKUP(D25,'미니게임_DATA(순)'!$A$5:$BU$38,72,0),0)+30</f>
        <v>30</v>
      </c>
      <c r="I25" s="564"/>
      <c r="J25" s="567"/>
      <c r="K25" s="181">
        <f>IFERROR(VLOOKUP(D25,'미니게임_DATA(순)'!$A$5:$BU$38,73,0),0)+30</f>
        <v>30</v>
      </c>
      <c r="L25" s="564"/>
      <c r="M25" s="567"/>
      <c r="N25" s="182">
        <f t="shared" ref="N25:N28" si="11">E25+H25+K25</f>
        <v>90</v>
      </c>
      <c r="O25" s="189">
        <f t="shared" ref="O25:O27" si="12">N25/3</f>
        <v>30</v>
      </c>
      <c r="P25" s="580"/>
      <c r="Q25" s="583"/>
      <c r="R25" s="190">
        <f>IFERROR(O25-VLOOKUP(D25,미니게임_DATA!$A:$BW,MATCH("rct 10g avg",미니게임_DATA!$A$3:$BW$3,0),0),0)</f>
        <v>-79.2</v>
      </c>
      <c r="S25" s="172" t="str">
        <f>VLOOKUP(D25,미니게임_DATA!$A:$BW,MATCH("성별",미니게임_DATA!$A$3:$BW$3,0),0)</f>
        <v>여</v>
      </c>
      <c r="T25" s="185" t="e">
        <f>MAX(  VLOOKUP(V25,'미니게임_DATA(순)'!$A$5:$BU$38,71,0),VLOOKUP(D25,'미니게임_DATA(순)'!$A$5:$BU$38,72,0), VLOOKUP(D25,'미니게임_DATA(순)'!$A$5:$BU$38,73,0))</f>
        <v>#N/A</v>
      </c>
      <c r="U25" s="186" t="e">
        <f>VLOOKUP(V25,'미니게임_DATA(순)'!$A$5:$EW$38,78,0)</f>
        <v>#N/A</v>
      </c>
      <c r="V25" s="187" t="str">
        <f t="shared" si="2"/>
        <v>김주현</v>
      </c>
    </row>
    <row r="26" spans="3:23">
      <c r="C26" s="562"/>
      <c r="D26" s="188" t="s">
        <v>13</v>
      </c>
      <c r="E26" s="181">
        <f>IFERROR(VLOOKUP(D26,'미니게임_DATA(순)'!$A$5:$BU$38,71,0),0)</f>
        <v>134</v>
      </c>
      <c r="F26" s="564"/>
      <c r="G26" s="567"/>
      <c r="H26" s="181">
        <f>IFERROR(VLOOKUP(D26,'미니게임_DATA(순)'!$A$5:$BU$38,72,0),0)</f>
        <v>149</v>
      </c>
      <c r="I26" s="564"/>
      <c r="J26" s="567"/>
      <c r="K26" s="181">
        <f>IFERROR(VLOOKUP(D26,'미니게임_DATA(순)'!$A$5:$BU$38,73,0),0)</f>
        <v>197</v>
      </c>
      <c r="L26" s="564"/>
      <c r="M26" s="567"/>
      <c r="N26" s="182">
        <f t="shared" si="11"/>
        <v>480</v>
      </c>
      <c r="O26" s="189">
        <f t="shared" si="12"/>
        <v>160</v>
      </c>
      <c r="P26" s="580"/>
      <c r="Q26" s="583"/>
      <c r="R26" s="190">
        <f>IFERROR(O26-VLOOKUP(D26,미니게임_DATA!$A:$BW,MATCH("rct 10g avg",미니게임_DATA!$A$3:$BW$3,0),0),0)</f>
        <v>-7.0999999999999943</v>
      </c>
      <c r="S26" s="172" t="str">
        <f>VLOOKUP(D26,미니게임_DATA!$A:$BW,MATCH("성별",미니게임_DATA!$A$3:$BW$3,0),0)</f>
        <v>남</v>
      </c>
      <c r="T26" s="185">
        <f>MAX(  VLOOKUP(V26,'미니게임_DATA(순)'!$A$5:$BU$38,71,0),VLOOKUP(D26,'미니게임_DATA(순)'!$A$5:$BU$38,72,0), VLOOKUP(D26,'미니게임_DATA(순)'!$A$5:$BU$38,73,0))</f>
        <v>197</v>
      </c>
      <c r="U26" s="186">
        <f>VLOOKUP(V26,'미니게임_DATA(순)'!$A$5:$EW$38,78,0)</f>
        <v>179</v>
      </c>
      <c r="V26" s="187" t="str">
        <f t="shared" si="2"/>
        <v>정동현</v>
      </c>
    </row>
    <row r="27" spans="3:23">
      <c r="C27" s="562"/>
      <c r="D27" s="188"/>
      <c r="E27" s="182">
        <f>IFERROR(VLOOKUP(D27,미니게임_DATA!$A:$GT,6,0),0)</f>
        <v>0</v>
      </c>
      <c r="F27" s="564"/>
      <c r="G27" s="567"/>
      <c r="H27" s="182">
        <f>IFERROR(VLOOKUP(D27,미니게임_DATA!$A:$GT,7,0),0)</f>
        <v>0</v>
      </c>
      <c r="I27" s="564"/>
      <c r="J27" s="567"/>
      <c r="K27" s="182">
        <f>IFERROR(VLOOKUP(D27,미니게임_DATA!$A:$GT,8,0),0)</f>
        <v>0</v>
      </c>
      <c r="L27" s="564"/>
      <c r="M27" s="567"/>
      <c r="N27" s="182">
        <f t="shared" si="11"/>
        <v>0</v>
      </c>
      <c r="O27" s="189">
        <f t="shared" si="12"/>
        <v>0</v>
      </c>
      <c r="P27" s="580"/>
      <c r="Q27" s="583"/>
      <c r="R27" s="190">
        <f>IFERROR(O27-VLOOKUP(D27,미니게임_DATA!$A:$BW,MATCH("rct 10g avg",미니게임_DATA!$A$3:$BW$3,0),0),0)</f>
        <v>0</v>
      </c>
      <c r="T27" s="185"/>
      <c r="U27" s="186"/>
      <c r="V27" s="187"/>
    </row>
    <row r="28" spans="3:23">
      <c r="C28" s="192"/>
      <c r="D28" s="193"/>
      <c r="E28" s="194">
        <f>SUMIF(E24:E27, "&gt;0")</f>
        <v>322</v>
      </c>
      <c r="F28" s="565"/>
      <c r="G28" s="568"/>
      <c r="H28" s="194">
        <f>SUMIF(H24:H27, "&gt;0")</f>
        <v>356</v>
      </c>
      <c r="I28" s="565"/>
      <c r="J28" s="568"/>
      <c r="K28" s="194">
        <f>SUMIF(K24:K27, "&gt;0")</f>
        <v>351</v>
      </c>
      <c r="L28" s="565"/>
      <c r="M28" s="568"/>
      <c r="N28" s="194">
        <f t="shared" si="11"/>
        <v>1029</v>
      </c>
      <c r="O28" s="195"/>
      <c r="P28" s="581"/>
      <c r="Q28" s="584"/>
      <c r="R28" s="196">
        <f>IFERROR(O28-VLOOKUP(D28,미니게임_DATA!$A:$BW,MATCH("rct 10g avg",미니게임_DATA!$A$3:$BW$3,0),0),0)</f>
        <v>0</v>
      </c>
      <c r="S28" s="185">
        <f>N28</f>
        <v>1029</v>
      </c>
      <c r="T28" s="185">
        <f>MAX(E28,H28,K28)</f>
        <v>356</v>
      </c>
      <c r="U28" s="186"/>
      <c r="V28" s="187">
        <f t="shared" si="2"/>
        <v>0</v>
      </c>
      <c r="W28" s="187">
        <f>SUM(E28,H28)</f>
        <v>678</v>
      </c>
    </row>
    <row r="29" spans="3:23">
      <c r="C29" s="561" t="s">
        <v>148</v>
      </c>
      <c r="D29" s="180" t="s">
        <v>11</v>
      </c>
      <c r="E29" s="181">
        <f>IFERROR(VLOOKUP(D29,'미니게임_DATA(순)'!$A$5:$BU$38,71,0),0)</f>
        <v>151</v>
      </c>
      <c r="F29" s="563">
        <f>RANK(E33,($E$18,$E$23,$E$28,$E$33))</f>
        <v>1</v>
      </c>
      <c r="G29" s="566">
        <f t="shared" ref="G29" si="13">F29</f>
        <v>1</v>
      </c>
      <c r="H29" s="181">
        <f>IFERROR(VLOOKUP(D29,'미니게임_DATA(순)'!$A$5:$BU$38,72,0),0)</f>
        <v>155</v>
      </c>
      <c r="I29" s="563">
        <f>RANK(H33,($H$18,$H$23,$H$28,$H$33))</f>
        <v>1</v>
      </c>
      <c r="J29" s="566">
        <f>RANK(W33,($W$18,$W$23,$W$28,$W$33))</f>
        <v>1</v>
      </c>
      <c r="K29" s="181">
        <f>IFERROR(VLOOKUP(D29,'미니게임_DATA(순)'!$A$5:$BU$38,73,0),0)</f>
        <v>146</v>
      </c>
      <c r="L29" s="563">
        <f>RANK(K33,($K$18,$K$23,$K$28,$K$33))</f>
        <v>1</v>
      </c>
      <c r="M29" s="566">
        <f t="shared" ref="M29" si="14">P29</f>
        <v>1</v>
      </c>
      <c r="N29" s="181">
        <f>E29+H29+K29</f>
        <v>452</v>
      </c>
      <c r="O29" s="183">
        <f>N29/3</f>
        <v>150.66666666666666</v>
      </c>
      <c r="P29" s="579">
        <f>RANK(N33,($N$18,$N$23,$N$28,$N$33))</f>
        <v>1</v>
      </c>
      <c r="Q29" s="582">
        <f>MAX($N$18,$N$23,N$28,N$33)-N33</f>
        <v>0</v>
      </c>
      <c r="R29" s="184">
        <f>IFERROR(O29-VLOOKUP(D29,미니게임_DATA!$A:$BW,MATCH("rct 10g avg",미니게임_DATA!$A$3:$BW$3,0),0),0)</f>
        <v>-3.9333333333333371</v>
      </c>
      <c r="S29" s="172" t="str">
        <f>VLOOKUP(D29,미니게임_DATA!$A:$BW,MATCH("성별",미니게임_DATA!$A$3:$BW$3,0),0)</f>
        <v>남</v>
      </c>
      <c r="T29" s="185">
        <f>MAX(  VLOOKUP(V29,'미니게임_DATA(순)'!$A$5:$BU$38,71,0),VLOOKUP(D29,'미니게임_DATA(순)'!$A$5:$BU$38,72,0), VLOOKUP(D29,'미니게임_DATA(순)'!$A$5:$BU$38,73,0))</f>
        <v>155</v>
      </c>
      <c r="U29" s="186">
        <f>VLOOKUP(V29,'미니게임_DATA(순)'!$A$5:$EW$38,78,0)</f>
        <v>157</v>
      </c>
      <c r="V29" s="187" t="str">
        <f t="shared" si="2"/>
        <v>박용승</v>
      </c>
    </row>
    <row r="30" spans="3:23">
      <c r="C30" s="585"/>
      <c r="D30" s="197" t="s">
        <v>42</v>
      </c>
      <c r="E30" s="181">
        <f>IFERROR(VLOOKUP(D30,'미니게임_DATA(순)'!$A$5:$BU$38,71,0),0)+25</f>
        <v>130</v>
      </c>
      <c r="F30" s="564"/>
      <c r="G30" s="567"/>
      <c r="H30" s="181">
        <f>IFERROR(VLOOKUP(D30,'미니게임_DATA(순)'!$A$5:$BU$38,72,0),0)+25</f>
        <v>142</v>
      </c>
      <c r="I30" s="564"/>
      <c r="J30" s="567"/>
      <c r="K30" s="181">
        <f>IFERROR(VLOOKUP(D30,'미니게임_DATA(순)'!$A$5:$BU$38,73,0),0)+25</f>
        <v>134</v>
      </c>
      <c r="L30" s="564"/>
      <c r="M30" s="567"/>
      <c r="N30" s="182">
        <f t="shared" ref="N30:N33" si="15">E30+H30+K30</f>
        <v>406</v>
      </c>
      <c r="O30" s="189">
        <f t="shared" ref="O30:O32" si="16">N30/3</f>
        <v>135.33333333333334</v>
      </c>
      <c r="P30" s="580"/>
      <c r="Q30" s="583"/>
      <c r="R30" s="190">
        <f>IFERROR(O30-VLOOKUP(D30,미니게임_DATA!$A:$BW,MATCH("rct 10g avg",미니게임_DATA!$A$3:$BW$3,0),0),0)</f>
        <v>17.733333333333348</v>
      </c>
      <c r="S30" s="172" t="str">
        <f>VLOOKUP(D30,미니게임_DATA!$A:$BW,MATCH("성별",미니게임_DATA!$A$3:$BW$3,0),0)</f>
        <v>남</v>
      </c>
      <c r="T30" s="185">
        <f>MAX(  VLOOKUP(V30,'미니게임_DATA(순)'!$A$5:$BU$38,71,0),VLOOKUP(D30,'미니게임_DATA(순)'!$A$5:$BU$38,72,0), VLOOKUP(D30,'미니게임_DATA(순)'!$A$5:$BU$38,73,0))</f>
        <v>117</v>
      </c>
      <c r="U30" s="186">
        <f>VLOOKUP(V30,'미니게임_DATA(순)'!$A$5:$EW$38,78,0)</f>
        <v>0</v>
      </c>
      <c r="V30" s="187" t="str">
        <f t="shared" si="2"/>
        <v>권진현</v>
      </c>
    </row>
    <row r="31" spans="3:23">
      <c r="C31" s="562"/>
      <c r="D31" s="188" t="s">
        <v>17</v>
      </c>
      <c r="E31" s="181">
        <f>IFERROR(VLOOKUP(D31,'미니게임_DATA(순)'!$A$5:$BU$38,71,0),0)</f>
        <v>186</v>
      </c>
      <c r="F31" s="564"/>
      <c r="G31" s="567"/>
      <c r="H31" s="181">
        <f>IFERROR(VLOOKUP(D31,'미니게임_DATA(순)'!$A$5:$BU$38,72,0),0)</f>
        <v>197</v>
      </c>
      <c r="I31" s="564"/>
      <c r="J31" s="567"/>
      <c r="K31" s="181">
        <f>IFERROR(VLOOKUP(D31,'미니게임_DATA(순)'!$A$5:$BU$38,73,0),0)</f>
        <v>111</v>
      </c>
      <c r="L31" s="564"/>
      <c r="M31" s="567"/>
      <c r="N31" s="182">
        <f t="shared" si="15"/>
        <v>494</v>
      </c>
      <c r="O31" s="189">
        <f t="shared" si="16"/>
        <v>164.66666666666666</v>
      </c>
      <c r="P31" s="580"/>
      <c r="Q31" s="583"/>
      <c r="R31" s="190">
        <f>IFERROR(O31-VLOOKUP(D31,미니게임_DATA!$A:$BW,MATCH("rct 10g avg",미니게임_DATA!$A$3:$BW$3,0),0),0)</f>
        <v>5.4666666666666686</v>
      </c>
      <c r="S31" s="172" t="str">
        <f>VLOOKUP(D31,미니게임_DATA!$A:$BW,MATCH("성별",미니게임_DATA!$A$3:$BW$3,0),0)</f>
        <v>남</v>
      </c>
      <c r="T31" s="185">
        <f>MAX(  VLOOKUP(V31,'미니게임_DATA(순)'!$A$5:$BU$38,71,0),VLOOKUP(D31,'미니게임_DATA(순)'!$A$5:$BU$38,72,0), VLOOKUP(D31,'미니게임_DATA(순)'!$A$5:$BU$38,73,0))</f>
        <v>197</v>
      </c>
      <c r="U31" s="186">
        <f>VLOOKUP(V31,'미니게임_DATA(순)'!$A$5:$EW$38,78,0)</f>
        <v>131</v>
      </c>
      <c r="V31" s="187" t="str">
        <f t="shared" si="2"/>
        <v>한희용</v>
      </c>
    </row>
    <row r="32" spans="3:23">
      <c r="C32" s="562"/>
      <c r="D32" s="188"/>
      <c r="E32" s="182"/>
      <c r="F32" s="564"/>
      <c r="G32" s="567"/>
      <c r="H32" s="182"/>
      <c r="I32" s="564"/>
      <c r="J32" s="567"/>
      <c r="K32" s="181">
        <f>IFERROR(VLOOKUP(D32,'미니게임_DATA(순)'!$A$5:$BU$38,73,0),0)</f>
        <v>0</v>
      </c>
      <c r="L32" s="564"/>
      <c r="M32" s="567"/>
      <c r="N32" s="182">
        <f t="shared" si="15"/>
        <v>0</v>
      </c>
      <c r="O32" s="189">
        <f t="shared" si="16"/>
        <v>0</v>
      </c>
      <c r="P32" s="580"/>
      <c r="Q32" s="583"/>
      <c r="R32" s="190">
        <f>IFERROR(O32-VLOOKUP(D32,미니게임_DATA!$A:$BW,MATCH("rct 10g avg",미니게임_DATA!$A$3:$BW$3,0),0),0)</f>
        <v>0</v>
      </c>
      <c r="T32" s="185"/>
      <c r="U32" s="186"/>
      <c r="V32" s="187"/>
    </row>
    <row r="33" spans="2:24">
      <c r="C33" s="192"/>
      <c r="D33" s="193"/>
      <c r="E33" s="194">
        <f t="shared" ref="E33" si="17">SUMIF(E29:E32, "&gt;0")</f>
        <v>467</v>
      </c>
      <c r="F33" s="565"/>
      <c r="G33" s="568"/>
      <c r="H33" s="194">
        <f t="shared" ref="H33" si="18">SUMIF(H29:H32, "&gt;0")</f>
        <v>494</v>
      </c>
      <c r="I33" s="565"/>
      <c r="J33" s="568"/>
      <c r="K33" s="194">
        <f>SUMIF(K29:K32, "&gt;0")</f>
        <v>391</v>
      </c>
      <c r="L33" s="565"/>
      <c r="M33" s="568"/>
      <c r="N33" s="194">
        <f t="shared" si="15"/>
        <v>1352</v>
      </c>
      <c r="O33" s="195"/>
      <c r="P33" s="581"/>
      <c r="Q33" s="584"/>
      <c r="R33" s="196">
        <f>IFERROR(O33-VLOOKUP(D33,미니게임_DATA!$A:$BW,MATCH("rct 10g avg",미니게임_DATA!$A$3:$BW$3,0),0),0)</f>
        <v>0</v>
      </c>
      <c r="S33" s="185">
        <f>N33</f>
        <v>1352</v>
      </c>
      <c r="T33" s="185">
        <f>MAX(E33,H33,K33)</f>
        <v>494</v>
      </c>
      <c r="U33" s="186"/>
      <c r="V33" s="187">
        <f t="shared" si="2"/>
        <v>0</v>
      </c>
      <c r="W33" s="187">
        <f>SUM(E33,H33)</f>
        <v>961</v>
      </c>
    </row>
    <row r="34" spans="2:24">
      <c r="H34" s="170"/>
      <c r="R34" s="170"/>
    </row>
    <row r="35" spans="2:24" s="172" customFormat="1"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70"/>
      <c r="O35" s="171"/>
      <c r="P35" s="169"/>
      <c r="Q35" s="169"/>
      <c r="R35" s="170"/>
      <c r="U35" s="169"/>
      <c r="V35" s="169"/>
      <c r="W35" s="169"/>
      <c r="X35" s="169"/>
    </row>
    <row r="36" spans="2:24" s="172" customFormat="1"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70"/>
      <c r="O36" s="171"/>
      <c r="P36" s="169"/>
      <c r="Q36" s="169"/>
      <c r="R36" s="170"/>
      <c r="U36" s="169"/>
      <c r="V36" s="169"/>
      <c r="W36" s="169"/>
      <c r="X36" s="169"/>
    </row>
  </sheetData>
  <mergeCells count="53">
    <mergeCell ref="L29:L33"/>
    <mergeCell ref="M29:M33"/>
    <mergeCell ref="P29:P33"/>
    <mergeCell ref="Q29:Q33"/>
    <mergeCell ref="C24:C27"/>
    <mergeCell ref="F24:F28"/>
    <mergeCell ref="G24:G28"/>
    <mergeCell ref="C29:C32"/>
    <mergeCell ref="F29:F33"/>
    <mergeCell ref="G29:G33"/>
    <mergeCell ref="I29:I33"/>
    <mergeCell ref="J29:J33"/>
    <mergeCell ref="I24:I28"/>
    <mergeCell ref="J24:J28"/>
    <mergeCell ref="L24:L28"/>
    <mergeCell ref="M24:M28"/>
    <mergeCell ref="M14:M18"/>
    <mergeCell ref="P14:P18"/>
    <mergeCell ref="Q14:Q18"/>
    <mergeCell ref="L19:L23"/>
    <mergeCell ref="M19:M23"/>
    <mergeCell ref="P19:P23"/>
    <mergeCell ref="Q19:Q23"/>
    <mergeCell ref="P24:P28"/>
    <mergeCell ref="Q24:Q28"/>
    <mergeCell ref="C19:C22"/>
    <mergeCell ref="F19:F23"/>
    <mergeCell ref="G19:G23"/>
    <mergeCell ref="I19:I23"/>
    <mergeCell ref="J19:J23"/>
    <mergeCell ref="R11:R13"/>
    <mergeCell ref="E12:G12"/>
    <mergeCell ref="H12:J12"/>
    <mergeCell ref="K12:M12"/>
    <mergeCell ref="C14:C17"/>
    <mergeCell ref="F14:F18"/>
    <mergeCell ref="G14:G18"/>
    <mergeCell ref="I14:I18"/>
    <mergeCell ref="J14:J18"/>
    <mergeCell ref="L14:L18"/>
    <mergeCell ref="C11:C13"/>
    <mergeCell ref="D11:D13"/>
    <mergeCell ref="E11:K11"/>
    <mergeCell ref="N11:N13"/>
    <mergeCell ref="O11:O13"/>
    <mergeCell ref="P11:Q12"/>
    <mergeCell ref="B2:B3"/>
    <mergeCell ref="B4:B5"/>
    <mergeCell ref="B6:B9"/>
    <mergeCell ref="D6:E6"/>
    <mergeCell ref="D7:E7"/>
    <mergeCell ref="D8:E8"/>
    <mergeCell ref="D9:E9"/>
  </mergeCells>
  <phoneticPr fontId="2" type="noConversion"/>
  <conditionalFormatting sqref="F38:G1048576 G34:G37 F1:G13 I1:J13 L1:M13 L34:M1048576 I34:J1048576">
    <cfRule type="cellIs" dxfId="72" priority="5" operator="equal">
      <formula>1</formula>
    </cfRule>
  </conditionalFormatting>
  <conditionalFormatting sqref="M14:M33">
    <cfRule type="cellIs" dxfId="71" priority="3" operator="equal">
      <formula>1</formula>
    </cfRule>
  </conditionalFormatting>
  <conditionalFormatting sqref="F14:G14 F19:G19 G15:G18 G30:G33 F29:G29 G25:G28 F24:G24 G20:G23">
    <cfRule type="cellIs" dxfId="70" priority="4" operator="equal">
      <formula>1</formula>
    </cfRule>
  </conditionalFormatting>
  <conditionalFormatting sqref="I14:J14 I19 I29 I24 J15:J33">
    <cfRule type="cellIs" dxfId="69" priority="2" operator="equal">
      <formula>1</formula>
    </cfRule>
  </conditionalFormatting>
  <conditionalFormatting sqref="L14 L19 L29 L24">
    <cfRule type="cellIs" dxfId="68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X36"/>
  <sheetViews>
    <sheetView showGridLines="0" zoomScaleNormal="100" workbookViewId="0">
      <selection activeCell="O44" sqref="O44"/>
    </sheetView>
  </sheetViews>
  <sheetFormatPr defaultColWidth="9" defaultRowHeight="13.5"/>
  <cols>
    <col min="1" max="5" width="9" style="169"/>
    <col min="6" max="7" width="5.375" style="169" customWidth="1"/>
    <col min="8" max="8" width="9" style="169"/>
    <col min="9" max="10" width="5.375" style="169" customWidth="1"/>
    <col min="11" max="11" width="9" style="169"/>
    <col min="12" max="13" width="5.375" style="169" customWidth="1"/>
    <col min="14" max="14" width="9" style="170"/>
    <col min="15" max="15" width="9.375" style="171" bestFit="1" customWidth="1"/>
    <col min="16" max="18" width="9" style="169"/>
    <col min="19" max="20" width="9" style="172" hidden="1" customWidth="1"/>
    <col min="21" max="22" width="9" style="169" hidden="1" customWidth="1"/>
    <col min="23" max="23" width="0" style="169" hidden="1" customWidth="1"/>
    <col min="24" max="16384" width="9" style="169"/>
  </cols>
  <sheetData>
    <row r="2" spans="2:24">
      <c r="B2" s="550" t="s">
        <v>154</v>
      </c>
      <c r="C2" s="166" t="s">
        <v>156</v>
      </c>
      <c r="D2" s="167" t="str">
        <f>VLOOKUP(E2,$T$14:$V$33,3,0)</f>
        <v>정동현</v>
      </c>
      <c r="E2" s="168">
        <f t="array" ref="E2">MAX(IF($S$14:$S$33="남",$T$14:$T$33))</f>
        <v>225</v>
      </c>
    </row>
    <row r="3" spans="2:24">
      <c r="B3" s="551"/>
      <c r="C3" s="166" t="s">
        <v>157</v>
      </c>
      <c r="D3" s="167" t="str">
        <f>VLOOKUP(E3,$T$14:$V$33,3,0)</f>
        <v>성소라</v>
      </c>
      <c r="E3" s="173">
        <f t="array" ref="E3">MAX(IF($S$14:$S$33="여",$T$14:$T$33))</f>
        <v>192</v>
      </c>
    </row>
    <row r="4" spans="2:24">
      <c r="B4" s="550" t="s">
        <v>158</v>
      </c>
      <c r="C4" s="166" t="s">
        <v>156</v>
      </c>
      <c r="D4" s="167" t="str">
        <f>VLOOKUP(E4,$U$14:$V$33,2,0)</f>
        <v>최은규</v>
      </c>
      <c r="E4" s="168">
        <f t="array" ref="E4">MAX(IF($S$14:$S$33="남",$U$14:$U$33))</f>
        <v>200.33333333333334</v>
      </c>
    </row>
    <row r="5" spans="2:24">
      <c r="B5" s="551"/>
      <c r="C5" s="166" t="s">
        <v>157</v>
      </c>
      <c r="D5" s="167" t="str">
        <f>VLOOKUP(E5,$U$14:$V$33,2,0)</f>
        <v>성소라</v>
      </c>
      <c r="E5" s="173">
        <f t="array" ref="E5">MAX(IF($S$14:$S$33="여",$U$14:$U$33))</f>
        <v>164.66666666666666</v>
      </c>
    </row>
    <row r="6" spans="2:24" ht="16.5">
      <c r="B6" s="550" t="s">
        <v>224</v>
      </c>
      <c r="C6" s="235" t="s">
        <v>154</v>
      </c>
      <c r="D6" s="589" t="s">
        <v>225</v>
      </c>
      <c r="E6" s="472"/>
    </row>
    <row r="7" spans="2:24" ht="16.5">
      <c r="B7" s="552"/>
      <c r="C7" s="235" t="s">
        <v>226</v>
      </c>
      <c r="D7" s="554" t="s">
        <v>231</v>
      </c>
      <c r="E7" s="472"/>
    </row>
    <row r="8" spans="2:24" ht="16.5">
      <c r="B8" s="557"/>
      <c r="C8" s="235" t="s">
        <v>227</v>
      </c>
      <c r="D8" s="554" t="s">
        <v>228</v>
      </c>
      <c r="E8" s="472"/>
    </row>
    <row r="9" spans="2:24" ht="16.5">
      <c r="B9" s="553"/>
      <c r="C9" s="166" t="s">
        <v>229</v>
      </c>
      <c r="D9" s="554" t="s">
        <v>230</v>
      </c>
      <c r="E9" s="472"/>
    </row>
    <row r="11" spans="2:24" ht="16.5" customHeight="1">
      <c r="C11" s="543" t="s">
        <v>140</v>
      </c>
      <c r="D11" s="543" t="s">
        <v>3</v>
      </c>
      <c r="E11" s="544" t="s">
        <v>141</v>
      </c>
      <c r="F11" s="545"/>
      <c r="G11" s="545"/>
      <c r="H11" s="545"/>
      <c r="I11" s="545"/>
      <c r="J11" s="545"/>
      <c r="K11" s="545"/>
      <c r="L11" s="174"/>
      <c r="M11" s="174"/>
      <c r="N11" s="569" t="s">
        <v>142</v>
      </c>
      <c r="O11" s="572" t="s">
        <v>184</v>
      </c>
      <c r="P11" s="575" t="s">
        <v>169</v>
      </c>
      <c r="Q11" s="576"/>
      <c r="R11" s="540" t="s">
        <v>143</v>
      </c>
    </row>
    <row r="12" spans="2:24">
      <c r="C12" s="543"/>
      <c r="D12" s="543"/>
      <c r="E12" s="544">
        <v>1</v>
      </c>
      <c r="F12" s="545"/>
      <c r="G12" s="560"/>
      <c r="H12" s="544">
        <v>2</v>
      </c>
      <c r="I12" s="545"/>
      <c r="J12" s="560"/>
      <c r="K12" s="544">
        <v>3</v>
      </c>
      <c r="L12" s="545"/>
      <c r="M12" s="560"/>
      <c r="N12" s="570"/>
      <c r="O12" s="573"/>
      <c r="P12" s="577"/>
      <c r="Q12" s="578"/>
      <c r="R12" s="558"/>
      <c r="X12" s="172"/>
    </row>
    <row r="13" spans="2:24" ht="27">
      <c r="C13" s="543"/>
      <c r="D13" s="543"/>
      <c r="E13" s="175" t="s">
        <v>150</v>
      </c>
      <c r="F13" s="176" t="s">
        <v>152</v>
      </c>
      <c r="G13" s="177" t="s">
        <v>153</v>
      </c>
      <c r="H13" s="175" t="s">
        <v>150</v>
      </c>
      <c r="I13" s="176" t="s">
        <v>152</v>
      </c>
      <c r="J13" s="177" t="s">
        <v>153</v>
      </c>
      <c r="K13" s="175" t="s">
        <v>150</v>
      </c>
      <c r="L13" s="176" t="s">
        <v>152</v>
      </c>
      <c r="M13" s="177" t="s">
        <v>153</v>
      </c>
      <c r="N13" s="571"/>
      <c r="O13" s="574"/>
      <c r="P13" s="178" t="s">
        <v>144</v>
      </c>
      <c r="Q13" s="225" t="s">
        <v>168</v>
      </c>
      <c r="R13" s="559"/>
      <c r="T13" s="172" t="s">
        <v>170</v>
      </c>
      <c r="U13" s="169" t="s">
        <v>171</v>
      </c>
    </row>
    <row r="14" spans="2:24">
      <c r="C14" s="561" t="s">
        <v>145</v>
      </c>
      <c r="D14" s="180" t="s">
        <v>17</v>
      </c>
      <c r="E14" s="181">
        <f>IFERROR(VLOOKUP(D14,미니게임_DATA!$A:$GT,6,0),0)</f>
        <v>110</v>
      </c>
      <c r="F14" s="563">
        <f>RANK(E18,($E$18,$E$23,$E$28,$E$33))</f>
        <v>3</v>
      </c>
      <c r="G14" s="566">
        <f>F14</f>
        <v>3</v>
      </c>
      <c r="H14" s="182">
        <f>IFERROR(VLOOKUP(D14,미니게임_DATA!$A:$GT,7,0),0)</f>
        <v>157</v>
      </c>
      <c r="I14" s="563">
        <f>RANK(H18,($H$18,$H$23,$H$28,$H$33))</f>
        <v>4</v>
      </c>
      <c r="J14" s="566">
        <f>RANK(W18,($W$18,$W$23,$W$28,$W$33))</f>
        <v>3</v>
      </c>
      <c r="K14" s="181">
        <f>IFERROR(VLOOKUP(D14,미니게임_DATA!$A:$GT,8,0),0)</f>
        <v>191</v>
      </c>
      <c r="L14" s="563">
        <f>RANK(K18,($K$18,$K$23,$K$28,$K$33))</f>
        <v>2</v>
      </c>
      <c r="M14" s="566">
        <f>P14</f>
        <v>2</v>
      </c>
      <c r="N14" s="181">
        <f>E14+H14+K14</f>
        <v>458</v>
      </c>
      <c r="O14" s="183">
        <f>N14/3</f>
        <v>152.66666666666666</v>
      </c>
      <c r="P14" s="579">
        <f>RANK(N18,($N$18,$N$23,$N$28,$N$33))</f>
        <v>2</v>
      </c>
      <c r="Q14" s="586">
        <f>MAX($N$18,$N$23,N$28,N$33)-N18</f>
        <v>196</v>
      </c>
      <c r="R14" s="184">
        <f>IFERROR(O14-VLOOKUP(D14,미니게임_DATA!$A:$BW,MATCH("rct 10g avg",미니게임_DATA!$A$3:$BW$3,0),0),0)-20</f>
        <v>-26.533333333333331</v>
      </c>
      <c r="S14" s="172" t="str">
        <f>VLOOKUP(D14,미니게임_DATA!$A:$BW,MATCH("성별",미니게임_DATA!$A$3:$BW$3,0),0)</f>
        <v>남</v>
      </c>
      <c r="T14" s="185">
        <f>MAX(  VLOOKUP(V14,미니게임_DATA!$A$5:$H$38,6,0),VLOOKUP(D14,미니게임_DATA!$A$5:$H$38,7,0), VLOOKUP(D14,미니게임_DATA!$A$5:$H$38,8,0))</f>
        <v>191</v>
      </c>
      <c r="U14" s="186">
        <f>VLOOKUP(V14,미니게임_DATA!$A$5:$BW$38,74,0)</f>
        <v>152.66666666666666</v>
      </c>
      <c r="V14" s="187" t="str">
        <f>D14</f>
        <v>한희용</v>
      </c>
    </row>
    <row r="15" spans="2:24">
      <c r="C15" s="562"/>
      <c r="D15" s="188" t="s">
        <v>13</v>
      </c>
      <c r="E15" s="182">
        <f>IFERROR(VLOOKUP(D15,미니게임_DATA!$A:$GT,6,0),0)</f>
        <v>167</v>
      </c>
      <c r="F15" s="564"/>
      <c r="G15" s="567"/>
      <c r="H15" s="182">
        <f>IFERROR(VLOOKUP(D15,미니게임_DATA!$A:$GT,7,0),0)</f>
        <v>165</v>
      </c>
      <c r="I15" s="564"/>
      <c r="J15" s="567"/>
      <c r="K15" s="234">
        <f>IFERROR(VLOOKUP(D15,미니게임_DATA!$A:$GT,8,0),0)</f>
        <v>225</v>
      </c>
      <c r="L15" s="564"/>
      <c r="M15" s="567"/>
      <c r="N15" s="182">
        <f t="shared" ref="N15:N18" si="0">E15+H15+K15</f>
        <v>557</v>
      </c>
      <c r="O15" s="189">
        <f t="shared" ref="O15:O17" si="1">N15/3</f>
        <v>185.66666666666666</v>
      </c>
      <c r="P15" s="580"/>
      <c r="Q15" s="587"/>
      <c r="R15" s="190">
        <f>IFERROR(O15-VLOOKUP(D15,미니게임_DATA!$A:$BW,MATCH("rct 10g avg",미니게임_DATA!$A$3:$BW$3,0),0),0)</f>
        <v>18.566666666666663</v>
      </c>
      <c r="S15" s="172" t="str">
        <f>VLOOKUP(D15,미니게임_DATA!$A:$BW,MATCH("성별",미니게임_DATA!$A$3:$BW$3,0),0)</f>
        <v>남</v>
      </c>
      <c r="T15" s="185">
        <f>MAX(  VLOOKUP(V15,미니게임_DATA!$A$5:$H$38,6,0),VLOOKUP(D15,미니게임_DATA!$A$5:$H$38,7,0), VLOOKUP(D15,미니게임_DATA!$A$5:$H$38,8,0))</f>
        <v>225</v>
      </c>
      <c r="U15" s="186">
        <f>VLOOKUP(V15,미니게임_DATA!$A$5:$BW$38,74,0)</f>
        <v>185.66666666666666</v>
      </c>
      <c r="V15" s="187" t="str">
        <f t="shared" ref="V15:V33" si="2">D15</f>
        <v>정동현</v>
      </c>
    </row>
    <row r="16" spans="2:24">
      <c r="C16" s="562"/>
      <c r="D16" s="188" t="s">
        <v>21</v>
      </c>
      <c r="E16" s="182">
        <f>IFERROR(VLOOKUP(D16,미니게임_DATA!$A:$GT,6,0),0)+40</f>
        <v>178</v>
      </c>
      <c r="F16" s="564"/>
      <c r="G16" s="567"/>
      <c r="H16" s="182">
        <f>IFERROR(VLOOKUP(D16,미니게임_DATA!$A:$GT,7,0),0)+40</f>
        <v>110</v>
      </c>
      <c r="I16" s="564"/>
      <c r="J16" s="567"/>
      <c r="K16" s="182">
        <f>IFERROR(VLOOKUP(D16,미니게임_DATA!$A:$GT,8,0),0)+40</f>
        <v>143</v>
      </c>
      <c r="L16" s="564"/>
      <c r="M16" s="567"/>
      <c r="N16" s="182">
        <f t="shared" si="0"/>
        <v>431</v>
      </c>
      <c r="O16" s="189">
        <f t="shared" si="1"/>
        <v>143.66666666666666</v>
      </c>
      <c r="P16" s="580"/>
      <c r="Q16" s="587"/>
      <c r="R16" s="190">
        <f>IFERROR(O16-VLOOKUP(D16,미니게임_DATA!$A:$BW,MATCH("rct 10g avg",미니게임_DATA!$A$3:$BW$3,0),0),0)</f>
        <v>34.466666666666654</v>
      </c>
      <c r="S16" s="172" t="str">
        <f>VLOOKUP(D16,미니게임_DATA!$A:$BW,MATCH("성별",미니게임_DATA!$A$3:$BW$3,0),0)</f>
        <v>여</v>
      </c>
      <c r="T16" s="185">
        <f>MAX(  VLOOKUP(V16,미니게임_DATA!$A$5:$H$38,6,0),VLOOKUP(D16,미니게임_DATA!$A$5:$H$38,7,0), VLOOKUP(D16,미니게임_DATA!$A$5:$H$38,8,0))</f>
        <v>138</v>
      </c>
      <c r="U16" s="186">
        <f>VLOOKUP(V16,미니게임_DATA!$A$5:$BW$38,74,0)</f>
        <v>103.66666666666667</v>
      </c>
      <c r="V16" s="187" t="str">
        <f t="shared" si="2"/>
        <v>김주현</v>
      </c>
    </row>
    <row r="17" spans="3:23">
      <c r="C17" s="562"/>
      <c r="D17" s="191" t="s">
        <v>221</v>
      </c>
      <c r="E17" s="182">
        <v>165</v>
      </c>
      <c r="F17" s="564"/>
      <c r="G17" s="567"/>
      <c r="H17" s="182">
        <v>165</v>
      </c>
      <c r="I17" s="564"/>
      <c r="J17" s="567"/>
      <c r="K17" s="182">
        <v>165</v>
      </c>
      <c r="L17" s="564"/>
      <c r="M17" s="567"/>
      <c r="N17" s="182">
        <f t="shared" si="0"/>
        <v>495</v>
      </c>
      <c r="O17" s="189">
        <f t="shared" si="1"/>
        <v>165</v>
      </c>
      <c r="P17" s="580"/>
      <c r="Q17" s="587"/>
      <c r="R17" s="190">
        <f>IFERROR(O17-VLOOKUP(D17,미니게임_DATA!$A:$BW,MATCH("rct 10g avg",미니게임_DATA!$A$3:$BW$3,0),0),0)</f>
        <v>0</v>
      </c>
      <c r="T17" s="185"/>
      <c r="U17" s="186"/>
      <c r="V17" s="187"/>
    </row>
    <row r="18" spans="3:23">
      <c r="C18" s="192"/>
      <c r="D18" s="193"/>
      <c r="E18" s="194">
        <f>SUMIF(E14:E17, "&gt;0")</f>
        <v>620</v>
      </c>
      <c r="F18" s="565"/>
      <c r="G18" s="568"/>
      <c r="H18" s="194">
        <f>SUMIF(H14:H17, "&gt;0")</f>
        <v>597</v>
      </c>
      <c r="I18" s="565"/>
      <c r="J18" s="568"/>
      <c r="K18" s="194">
        <f>SUMIF(K14:K17, "&gt;0")</f>
        <v>724</v>
      </c>
      <c r="L18" s="565"/>
      <c r="M18" s="568"/>
      <c r="N18" s="194">
        <f t="shared" si="0"/>
        <v>1941</v>
      </c>
      <c r="O18" s="195"/>
      <c r="P18" s="581"/>
      <c r="Q18" s="588"/>
      <c r="R18" s="196">
        <f>IFERROR(O18-VLOOKUP(D18,미니게임_DATA!$A:$BW,MATCH("rct 10g avg",미니게임_DATA!$A$3:$BW$3,0),0),0)</f>
        <v>0</v>
      </c>
      <c r="S18" s="185">
        <f>N18</f>
        <v>1941</v>
      </c>
      <c r="T18" s="185">
        <f>MAX(E18,H18,K18)</f>
        <v>724</v>
      </c>
      <c r="U18" s="186"/>
      <c r="V18" s="187">
        <f t="shared" si="2"/>
        <v>0</v>
      </c>
      <c r="W18" s="187">
        <f>SUM(E18,H18)</f>
        <v>1217</v>
      </c>
    </row>
    <row r="19" spans="3:23">
      <c r="C19" s="561" t="s">
        <v>146</v>
      </c>
      <c r="D19" s="180" t="s">
        <v>42</v>
      </c>
      <c r="E19" s="181">
        <f>IFERROR(VLOOKUP(D19,미니게임_DATA!$A:$GT,6,0),0)+40</f>
        <v>176</v>
      </c>
      <c r="F19" s="563">
        <f>RANK(E23,($E$18,$E$23,$E$28,$E$33))</f>
        <v>2</v>
      </c>
      <c r="G19" s="566">
        <f t="shared" ref="G19" si="3">F19</f>
        <v>2</v>
      </c>
      <c r="H19" s="182">
        <f>IFERROR(VLOOKUP(D19,미니게임_DATA!$A:$GT,7,0),0)+40</f>
        <v>181</v>
      </c>
      <c r="I19" s="563">
        <f>RANK(H23,($H$18,$H$23,$H$28,$H$33))</f>
        <v>2</v>
      </c>
      <c r="J19" s="566">
        <f>RANK(W23,($W$18,$W$23,$W$28,$W$33))</f>
        <v>2</v>
      </c>
      <c r="K19" s="181">
        <f>IFERROR(VLOOKUP(D19,미니게임_DATA!$A:$GT,8,0),0)+40</f>
        <v>135</v>
      </c>
      <c r="L19" s="563">
        <f>RANK(K23,($K$18,$K$23,$K$28,$K$33))</f>
        <v>4</v>
      </c>
      <c r="M19" s="566">
        <f t="shared" ref="M19" si="4">P19</f>
        <v>3</v>
      </c>
      <c r="N19" s="181">
        <f>E19+H19+K19</f>
        <v>492</v>
      </c>
      <c r="O19" s="183">
        <f>N19/3</f>
        <v>164</v>
      </c>
      <c r="P19" s="579">
        <f>RANK(N23,($N$18,$N$23,$N$28,$N$33))</f>
        <v>3</v>
      </c>
      <c r="Q19" s="582">
        <f>MAX($N$18,$N$23,N$28,N$33)-N23</f>
        <v>200</v>
      </c>
      <c r="R19" s="184">
        <f>IFERROR(O19-VLOOKUP(D19,미니게임_DATA!$A:$BW,MATCH("rct 10g avg",미니게임_DATA!$A$3:$BW$3,0),0),0)-25</f>
        <v>21.400000000000006</v>
      </c>
      <c r="S19" s="172" t="str">
        <f>VLOOKUP(D19,미니게임_DATA!$A:$BW,MATCH("성별",미니게임_DATA!$A$3:$BW$3,0),0)</f>
        <v>남</v>
      </c>
      <c r="T19" s="185">
        <f>MAX(  VLOOKUP(V19,미니게임_DATA!$A$5:$H$38,6,0),VLOOKUP(D19,미니게임_DATA!$A$5:$H$38,7,0), VLOOKUP(D19,미니게임_DATA!$A$5:$H$38,8,0))</f>
        <v>141</v>
      </c>
      <c r="U19" s="186">
        <f>VLOOKUP(V19,미니게임_DATA!$A$5:$BW$38,74,0)</f>
        <v>124</v>
      </c>
      <c r="V19" s="187" t="str">
        <f t="shared" si="2"/>
        <v>권진현</v>
      </c>
    </row>
    <row r="20" spans="3:23">
      <c r="C20" s="585"/>
      <c r="D20" s="197" t="s">
        <v>10</v>
      </c>
      <c r="E20" s="182">
        <f>IFERROR(VLOOKUP(D20,미니게임_DATA!$A:$GT,6,0),0)</f>
        <v>155</v>
      </c>
      <c r="F20" s="564"/>
      <c r="G20" s="567"/>
      <c r="H20" s="182">
        <f>IFERROR(VLOOKUP(D20,미니게임_DATA!$A:$GT,7,0),0)</f>
        <v>147</v>
      </c>
      <c r="I20" s="564"/>
      <c r="J20" s="567"/>
      <c r="K20" s="182">
        <f>IFERROR(VLOOKUP(D20,미니게임_DATA!$A:$GT,8,0),0)</f>
        <v>143</v>
      </c>
      <c r="L20" s="564"/>
      <c r="M20" s="567"/>
      <c r="N20" s="182">
        <f t="shared" ref="N20:N22" si="5">E20+H20+K20</f>
        <v>445</v>
      </c>
      <c r="O20" s="189">
        <f t="shared" ref="O20:O22" si="6">N20/3</f>
        <v>148.33333333333334</v>
      </c>
      <c r="P20" s="580"/>
      <c r="Q20" s="583"/>
      <c r="R20" s="190">
        <f>IFERROR(O20-VLOOKUP(D20,미니게임_DATA!$A:$BW,MATCH("rct 10g avg",미니게임_DATA!$A$3:$BW$3,0),0),0)</f>
        <v>-19.866666666666646</v>
      </c>
      <c r="S20" s="172" t="str">
        <f>VLOOKUP(D20,미니게임_DATA!$A:$BW,MATCH("성별",미니게임_DATA!$A$3:$BW$3,0),0)</f>
        <v>남</v>
      </c>
      <c r="T20" s="185">
        <f>MAX(  VLOOKUP(V20,미니게임_DATA!$A$5:$H$38,6,0),VLOOKUP(D20,미니게임_DATA!$A$5:$H$38,7,0), VLOOKUP(D20,미니게임_DATA!$A$5:$H$38,8,0))</f>
        <v>155</v>
      </c>
      <c r="U20" s="186">
        <f>VLOOKUP(V20,미니게임_DATA!$A$5:$BW$38,74,0)</f>
        <v>148.33333333333334</v>
      </c>
      <c r="V20" s="187" t="str">
        <f t="shared" si="2"/>
        <v>김신철</v>
      </c>
    </row>
    <row r="21" spans="3:23">
      <c r="C21" s="562"/>
      <c r="D21" s="188" t="s">
        <v>23</v>
      </c>
      <c r="E21" s="182">
        <f>IFERROR(VLOOKUP(D21,미니게임_DATA!$A:$GT,6,0),0)</f>
        <v>181</v>
      </c>
      <c r="F21" s="564"/>
      <c r="G21" s="567"/>
      <c r="H21" s="182">
        <f>IFERROR(VLOOKUP(D21,미니게임_DATA!$A:$GT,7,0),0)</f>
        <v>168</v>
      </c>
      <c r="I21" s="564"/>
      <c r="J21" s="567"/>
      <c r="K21" s="182">
        <f>IFERROR(VLOOKUP(D21,미니게임_DATA!$A:$GT,8,0),0)</f>
        <v>156</v>
      </c>
      <c r="L21" s="564"/>
      <c r="M21" s="567"/>
      <c r="N21" s="182">
        <f t="shared" si="5"/>
        <v>505</v>
      </c>
      <c r="O21" s="189">
        <f t="shared" si="6"/>
        <v>168.33333333333334</v>
      </c>
      <c r="P21" s="580"/>
      <c r="Q21" s="583"/>
      <c r="R21" s="190">
        <f>IFERROR(O21-VLOOKUP(D21,미니게임_DATA!$A:$BW,MATCH("rct 10g avg",미니게임_DATA!$A$3:$BW$3,0),0),0)</f>
        <v>-14.866666666666646</v>
      </c>
      <c r="S21" s="172" t="str">
        <f>VLOOKUP(D21,미니게임_DATA!$A:$BW,MATCH("성별",미니게임_DATA!$A$3:$BW$3,0),0)</f>
        <v>남</v>
      </c>
      <c r="T21" s="185">
        <f>MAX(  VLOOKUP(V21,미니게임_DATA!$A$5:$H$38,6,0),VLOOKUP(D21,미니게임_DATA!$A$5:$H$38,7,0), VLOOKUP(D21,미니게임_DATA!$A$5:$H$38,8,0))</f>
        <v>181</v>
      </c>
      <c r="U21" s="186">
        <f>VLOOKUP(V21,미니게임_DATA!$A$5:$BW$38,74,0)</f>
        <v>168.33333333333334</v>
      </c>
      <c r="V21" s="187" t="str">
        <f t="shared" si="2"/>
        <v>천재복</v>
      </c>
    </row>
    <row r="22" spans="3:23">
      <c r="C22" s="562"/>
      <c r="D22" s="188" t="s">
        <v>221</v>
      </c>
      <c r="E22" s="182">
        <v>165</v>
      </c>
      <c r="F22" s="564"/>
      <c r="G22" s="567"/>
      <c r="H22" s="182">
        <v>165</v>
      </c>
      <c r="I22" s="564"/>
      <c r="J22" s="567"/>
      <c r="K22" s="182">
        <v>165</v>
      </c>
      <c r="L22" s="564"/>
      <c r="M22" s="567"/>
      <c r="N22" s="182">
        <f t="shared" si="5"/>
        <v>495</v>
      </c>
      <c r="O22" s="189">
        <f t="shared" si="6"/>
        <v>165</v>
      </c>
      <c r="P22" s="580"/>
      <c r="Q22" s="583"/>
      <c r="R22" s="190">
        <f>IFERROR(O22-VLOOKUP(D22,미니게임_DATA!$A:$BW,MATCH("rct 10g avg",미니게임_DATA!$A$3:$BW$3,0),0),0)</f>
        <v>0</v>
      </c>
      <c r="T22" s="185"/>
      <c r="U22" s="186"/>
      <c r="V22" s="187"/>
    </row>
    <row r="23" spans="3:23">
      <c r="C23" s="192"/>
      <c r="D23" s="193"/>
      <c r="E23" s="194">
        <f t="shared" ref="E23" si="7">SUMIF(E19:E22, "&gt;0")</f>
        <v>677</v>
      </c>
      <c r="F23" s="565"/>
      <c r="G23" s="568"/>
      <c r="H23" s="194">
        <f t="shared" ref="H23" si="8">SUMIF(H19:H22, "&gt;0")</f>
        <v>661</v>
      </c>
      <c r="I23" s="565"/>
      <c r="J23" s="568"/>
      <c r="K23" s="194">
        <f>SUMIF(K19:K22, "&gt;0")</f>
        <v>599</v>
      </c>
      <c r="L23" s="565"/>
      <c r="M23" s="568"/>
      <c r="N23" s="194">
        <f>E23+H23+K23</f>
        <v>1937</v>
      </c>
      <c r="O23" s="195"/>
      <c r="P23" s="581"/>
      <c r="Q23" s="584"/>
      <c r="R23" s="196">
        <f>IFERROR(O23-VLOOKUP(D23,미니게임_DATA!$A:$BW,MATCH("rct 10g avg",미니게임_DATA!$A$3:$BW$3,0),0),0)</f>
        <v>0</v>
      </c>
      <c r="S23" s="185">
        <f>N23</f>
        <v>1937</v>
      </c>
      <c r="T23" s="185">
        <f>MAX(E23,H23,K23)</f>
        <v>677</v>
      </c>
      <c r="U23" s="186"/>
      <c r="V23" s="187">
        <f t="shared" si="2"/>
        <v>0</v>
      </c>
      <c r="W23" s="187">
        <f>SUM(E23,H23)</f>
        <v>1338</v>
      </c>
    </row>
    <row r="24" spans="3:23">
      <c r="C24" s="561" t="s">
        <v>147</v>
      </c>
      <c r="D24" s="180" t="s">
        <v>11</v>
      </c>
      <c r="E24" s="181">
        <f>IFERROR(VLOOKUP(D24,미니게임_DATA!$A:$GT,6,0),0)</f>
        <v>159</v>
      </c>
      <c r="F24" s="563">
        <f>RANK(E28,($E$18,$E$23,$E$28,$E$33))</f>
        <v>4</v>
      </c>
      <c r="G24" s="566">
        <f t="shared" ref="G24" si="9">F24</f>
        <v>4</v>
      </c>
      <c r="H24" s="182">
        <f>IFERROR(VLOOKUP(D24,미니게임_DATA!$A:$GT,7,0),0)</f>
        <v>144</v>
      </c>
      <c r="I24" s="563">
        <f>RANK(H28,($H$18,$H$23,$H$28,$H$33))</f>
        <v>3</v>
      </c>
      <c r="J24" s="566">
        <f>RANK(W28,($W$18,$W$23,$W$28,$W$33))</f>
        <v>4</v>
      </c>
      <c r="K24" s="181">
        <f>IFERROR(VLOOKUP(D24,미니게임_DATA!$A:$GT,8,0),0)</f>
        <v>163</v>
      </c>
      <c r="L24" s="563">
        <f>RANK(K28,($K$18,$K$23,$K$28,$K$33))</f>
        <v>3</v>
      </c>
      <c r="M24" s="566">
        <f t="shared" ref="M24" si="10">P24</f>
        <v>4</v>
      </c>
      <c r="N24" s="181">
        <f>E24+H24+K24</f>
        <v>466</v>
      </c>
      <c r="O24" s="183">
        <f>N24/3</f>
        <v>155.33333333333334</v>
      </c>
      <c r="P24" s="579">
        <f>RANK(N28,($N$18,$N$23,$N$28,$N$33))</f>
        <v>4</v>
      </c>
      <c r="Q24" s="582">
        <f>MAX($N$18,$N$23,N$28,N$33)-N28</f>
        <v>285</v>
      </c>
      <c r="R24" s="184">
        <f>IFERROR(O24-VLOOKUP(D24,미니게임_DATA!$A:$BW,MATCH("rct 10g avg",미니게임_DATA!$A$3:$BW$3,0),0),0)-15</f>
        <v>-14.266666666666652</v>
      </c>
      <c r="S24" s="172" t="str">
        <f>VLOOKUP(D24,미니게임_DATA!$A:$BW,MATCH("성별",미니게임_DATA!$A$3:$BW$3,0),0)</f>
        <v>남</v>
      </c>
      <c r="T24" s="185">
        <f>MAX(  VLOOKUP(V24,미니게임_DATA!$A$5:$H$38,6,0),VLOOKUP(D24,미니게임_DATA!$A$5:$H$38,7,0), VLOOKUP(D24,미니게임_DATA!$A$5:$H$38,8,0))</f>
        <v>163</v>
      </c>
      <c r="U24" s="186">
        <f>VLOOKUP(V24,미니게임_DATA!$A$5:$BW$38,74,0)</f>
        <v>155.33333333333334</v>
      </c>
      <c r="V24" s="187" t="str">
        <f t="shared" si="2"/>
        <v>박용승</v>
      </c>
    </row>
    <row r="25" spans="3:23">
      <c r="C25" s="562"/>
      <c r="D25" s="188" t="s">
        <v>38</v>
      </c>
      <c r="E25" s="182">
        <f>IFERROR(VLOOKUP(D25,미니게임_DATA!$A:$GT,6,0),0)</f>
        <v>158</v>
      </c>
      <c r="F25" s="564"/>
      <c r="G25" s="567"/>
      <c r="H25" s="182">
        <f>IFERROR(VLOOKUP(D25,미니게임_DATA!$A:$GT,7,0),0)</f>
        <v>149</v>
      </c>
      <c r="I25" s="564"/>
      <c r="J25" s="567"/>
      <c r="K25" s="182">
        <f>IFERROR(VLOOKUP(D25,미니게임_DATA!$A:$GT,8,0),0)</f>
        <v>199</v>
      </c>
      <c r="L25" s="564"/>
      <c r="M25" s="567"/>
      <c r="N25" s="182">
        <f t="shared" ref="N25:N28" si="11">E25+H25+K25</f>
        <v>506</v>
      </c>
      <c r="O25" s="189">
        <f t="shared" ref="O25:O27" si="12">N25/3</f>
        <v>168.66666666666666</v>
      </c>
      <c r="P25" s="580"/>
      <c r="Q25" s="583"/>
      <c r="R25" s="190">
        <f>IFERROR(O25-VLOOKUP(D25,미니게임_DATA!$A:$BW,MATCH("rct 10g avg",미니게임_DATA!$A$3:$BW$3,0),0),0)</f>
        <v>5.7666666666666515</v>
      </c>
      <c r="S25" s="172" t="str">
        <f>VLOOKUP(D25,미니게임_DATA!$A:$BW,MATCH("성별",미니게임_DATA!$A$3:$BW$3,0),0)</f>
        <v>남</v>
      </c>
      <c r="T25" s="185">
        <f>MAX(  VLOOKUP(V25,미니게임_DATA!$A$5:$H$38,6,0),VLOOKUP(D25,미니게임_DATA!$A$5:$H$38,7,0), VLOOKUP(D25,미니게임_DATA!$A$5:$H$38,8,0))</f>
        <v>199</v>
      </c>
      <c r="U25" s="186">
        <f>VLOOKUP(V25,미니게임_DATA!$A$5:$BW$38,74,0)</f>
        <v>168.66666666666666</v>
      </c>
      <c r="V25" s="187" t="str">
        <f t="shared" si="2"/>
        <v>이수용</v>
      </c>
    </row>
    <row r="26" spans="3:23">
      <c r="C26" s="562"/>
      <c r="D26" s="188" t="s">
        <v>22</v>
      </c>
      <c r="E26" s="182">
        <f>IFERROR(VLOOKUP(D26,미니게임_DATA!$A:$GT,6,0),0)+2</f>
        <v>126</v>
      </c>
      <c r="F26" s="564"/>
      <c r="G26" s="567"/>
      <c r="H26" s="182">
        <f>IFERROR(VLOOKUP(D26,미니게임_DATA!$A:$GT,7,0),0)+2</f>
        <v>128</v>
      </c>
      <c r="I26" s="564"/>
      <c r="J26" s="567"/>
      <c r="K26" s="182">
        <f>IFERROR(VLOOKUP(D26,미니게임_DATA!$A:$GT,8,0),0)+2</f>
        <v>140</v>
      </c>
      <c r="L26" s="564"/>
      <c r="M26" s="567"/>
      <c r="N26" s="182">
        <f t="shared" si="11"/>
        <v>394</v>
      </c>
      <c r="O26" s="189">
        <f t="shared" si="12"/>
        <v>131.33333333333334</v>
      </c>
      <c r="P26" s="580"/>
      <c r="Q26" s="583"/>
      <c r="R26" s="190">
        <f>IFERROR(O26-VLOOKUP(D26,미니게임_DATA!$A:$BW,MATCH("rct 10g avg",미니게임_DATA!$A$3:$BW$3,0),0),0)</f>
        <v>-12.066666666666663</v>
      </c>
      <c r="S26" s="172" t="str">
        <f>VLOOKUP(D26,미니게임_DATA!$A:$BW,MATCH("성별",미니게임_DATA!$A$3:$BW$3,0),0)</f>
        <v>남</v>
      </c>
      <c r="T26" s="185">
        <f>MAX(  VLOOKUP(V26,미니게임_DATA!$A$5:$H$38,6,0),VLOOKUP(D26,미니게임_DATA!$A$5:$H$38,7,0), VLOOKUP(D26,미니게임_DATA!$A$5:$H$38,8,0))</f>
        <v>138</v>
      </c>
      <c r="U26" s="186">
        <f>VLOOKUP(V26,미니게임_DATA!$A$5:$BW$38,74,0)</f>
        <v>129.33333333333334</v>
      </c>
      <c r="V26" s="187" t="str">
        <f t="shared" si="2"/>
        <v>이강은</v>
      </c>
    </row>
    <row r="27" spans="3:23">
      <c r="C27" s="562"/>
      <c r="D27" s="188" t="s">
        <v>15</v>
      </c>
      <c r="E27" s="182">
        <f>IFERROR(VLOOKUP(D27,미니게임_DATA!$A:$GT,6,0),0)</f>
        <v>151</v>
      </c>
      <c r="F27" s="564"/>
      <c r="G27" s="567"/>
      <c r="H27" s="182">
        <f>IFERROR(VLOOKUP(D27,미니게임_DATA!$A:$GT,7,0),0)</f>
        <v>188</v>
      </c>
      <c r="I27" s="564"/>
      <c r="J27" s="567"/>
      <c r="K27" s="182">
        <f>IFERROR(VLOOKUP(D27,미니게임_DATA!$A:$GT,8,0),0)</f>
        <v>147</v>
      </c>
      <c r="L27" s="564"/>
      <c r="M27" s="567"/>
      <c r="N27" s="182">
        <f t="shared" si="11"/>
        <v>486</v>
      </c>
      <c r="O27" s="189">
        <f t="shared" si="12"/>
        <v>162</v>
      </c>
      <c r="P27" s="580"/>
      <c r="Q27" s="583"/>
      <c r="R27" s="190">
        <f>IFERROR(O27-VLOOKUP(D27,미니게임_DATA!$A:$BW,MATCH("rct 10g avg",미니게임_DATA!$A$3:$BW$3,0),0),0)</f>
        <v>-8.4000000000000057</v>
      </c>
      <c r="S27" s="172" t="str">
        <f>VLOOKUP(D27,미니게임_DATA!$A:$BW,MATCH("성별",미니게임_DATA!$A$3:$BW$3,0),0)</f>
        <v>남</v>
      </c>
      <c r="T27" s="185">
        <f>MAX(  VLOOKUP(V27,미니게임_DATA!$A$5:$H$38,6,0),VLOOKUP(D27,미니게임_DATA!$A$5:$H$38,7,0), VLOOKUP(D27,미니게임_DATA!$A$5:$H$38,8,0))</f>
        <v>188</v>
      </c>
      <c r="U27" s="186">
        <f>VLOOKUP(V27,미니게임_DATA!$A$5:$BW$38,74,0)</f>
        <v>162</v>
      </c>
      <c r="V27" s="187" t="str">
        <f t="shared" si="2"/>
        <v>김창현</v>
      </c>
    </row>
    <row r="28" spans="3:23">
      <c r="C28" s="192"/>
      <c r="D28" s="193"/>
      <c r="E28" s="194">
        <f>SUMIF(E24:E27, "&gt;0")</f>
        <v>594</v>
      </c>
      <c r="F28" s="565"/>
      <c r="G28" s="568"/>
      <c r="H28" s="194">
        <f>SUMIF(H24:H27, "&gt;0")</f>
        <v>609</v>
      </c>
      <c r="I28" s="565"/>
      <c r="J28" s="568"/>
      <c r="K28" s="194">
        <f>SUMIF(K24:K27, "&gt;0")</f>
        <v>649</v>
      </c>
      <c r="L28" s="565"/>
      <c r="M28" s="568"/>
      <c r="N28" s="194">
        <f t="shared" si="11"/>
        <v>1852</v>
      </c>
      <c r="O28" s="195"/>
      <c r="P28" s="581"/>
      <c r="Q28" s="584"/>
      <c r="R28" s="196">
        <f>IFERROR(O28-VLOOKUP(D28,미니게임_DATA!$A:$BW,MATCH("rct 10g avg",미니게임_DATA!$A$3:$BW$3,0),0),0)</f>
        <v>0</v>
      </c>
      <c r="S28" s="185">
        <f>N28</f>
        <v>1852</v>
      </c>
      <c r="T28" s="185">
        <f>MAX(E28,H28,K28)</f>
        <v>649</v>
      </c>
      <c r="U28" s="186"/>
      <c r="V28" s="187">
        <f t="shared" si="2"/>
        <v>0</v>
      </c>
      <c r="W28" s="187">
        <f>SUM(E28,H28)</f>
        <v>1203</v>
      </c>
    </row>
    <row r="29" spans="3:23">
      <c r="C29" s="561" t="s">
        <v>148</v>
      </c>
      <c r="D29" s="180" t="s">
        <v>16</v>
      </c>
      <c r="E29" s="181">
        <f>IFERROR(VLOOKUP(D29,미니게임_DATA!$A:$GT,6,0),0)</f>
        <v>198</v>
      </c>
      <c r="F29" s="563">
        <f>RANK(E33,($E$18,$E$23,$E$28,$E$33))</f>
        <v>1</v>
      </c>
      <c r="G29" s="566">
        <f t="shared" ref="G29" si="13">F29</f>
        <v>1</v>
      </c>
      <c r="H29" s="182">
        <f>IFERROR(VLOOKUP(D29,미니게임_DATA!$A:$GT,7,0),0)</f>
        <v>157</v>
      </c>
      <c r="I29" s="563">
        <f>RANK(H33,($H$18,$H$23,$H$28,$H$33))</f>
        <v>1</v>
      </c>
      <c r="J29" s="566">
        <f>RANK(W33,($W$18,$W$23,$W$28,$W$33))</f>
        <v>1</v>
      </c>
      <c r="K29" s="181">
        <f>IFERROR(VLOOKUP(D29,미니게임_DATA!$A:$GT,8,0),0)</f>
        <v>177</v>
      </c>
      <c r="L29" s="563">
        <f>RANK(K33,($K$18,$K$23,$K$28,$K$33))</f>
        <v>1</v>
      </c>
      <c r="M29" s="566">
        <f t="shared" ref="M29" si="14">P29</f>
        <v>1</v>
      </c>
      <c r="N29" s="181">
        <f>E29+H29+K29</f>
        <v>532</v>
      </c>
      <c r="O29" s="183">
        <f>N29/3</f>
        <v>177.33333333333334</v>
      </c>
      <c r="P29" s="579">
        <f>RANK(N33,($N$18,$N$23,$N$28,$N$33))</f>
        <v>1</v>
      </c>
      <c r="Q29" s="582">
        <f>MAX($N$18,$N$23,N$28,N$33)-N33</f>
        <v>0</v>
      </c>
      <c r="R29" s="184">
        <f>IFERROR(O29-VLOOKUP(D29,미니게임_DATA!$A:$BW,MATCH("rct 10g avg",미니게임_DATA!$A$3:$BW$3,0),0),0)</f>
        <v>9.6333333333333542</v>
      </c>
      <c r="S29" s="172" t="str">
        <f>VLOOKUP(D29,미니게임_DATA!$A:$BW,MATCH("성별",미니게임_DATA!$A$3:$BW$3,0),0)</f>
        <v>남</v>
      </c>
      <c r="T29" s="185">
        <f>MAX(  VLOOKUP(V29,미니게임_DATA!$A$5:$H$38,6,0),VLOOKUP(D29,미니게임_DATA!$A$5:$H$38,7,0), VLOOKUP(D29,미니게임_DATA!$A$5:$H$38,8,0))</f>
        <v>198</v>
      </c>
      <c r="U29" s="186">
        <f>VLOOKUP(V29,미니게임_DATA!$A$5:$BW$38,74,0)</f>
        <v>177.33333333333334</v>
      </c>
      <c r="V29" s="187" t="str">
        <f t="shared" si="2"/>
        <v>전병기</v>
      </c>
    </row>
    <row r="30" spans="3:23">
      <c r="C30" s="585"/>
      <c r="D30" s="197" t="s">
        <v>37</v>
      </c>
      <c r="E30" s="234">
        <f>IFERROR(VLOOKUP(D30,미니게임_DATA!$A:$GT,6,0),0)</f>
        <v>221</v>
      </c>
      <c r="F30" s="564"/>
      <c r="G30" s="567"/>
      <c r="H30" s="182">
        <f>IFERROR(VLOOKUP(D30,미니게임_DATA!$A:$GT,7,0),0)</f>
        <v>192</v>
      </c>
      <c r="I30" s="564"/>
      <c r="J30" s="567"/>
      <c r="K30" s="182">
        <f>IFERROR(VLOOKUP(D30,미니게임_DATA!$A:$GT,8,0),0)</f>
        <v>188</v>
      </c>
      <c r="L30" s="564"/>
      <c r="M30" s="567"/>
      <c r="N30" s="182">
        <f t="shared" ref="N30:N33" si="15">E30+H30+K30</f>
        <v>601</v>
      </c>
      <c r="O30" s="189">
        <f t="shared" ref="O30:O32" si="16">N30/3</f>
        <v>200.33333333333334</v>
      </c>
      <c r="P30" s="580"/>
      <c r="Q30" s="583"/>
      <c r="R30" s="190">
        <f>IFERROR(O30-VLOOKUP(D30,미니게임_DATA!$A:$BW,MATCH("rct 10g avg",미니게임_DATA!$A$3:$BW$3,0),0),0)</f>
        <v>21.533333333333331</v>
      </c>
      <c r="S30" s="172" t="str">
        <f>VLOOKUP(D30,미니게임_DATA!$A:$BW,MATCH("성별",미니게임_DATA!$A$3:$BW$3,0),0)</f>
        <v>남</v>
      </c>
      <c r="T30" s="185">
        <f>MAX(  VLOOKUP(V30,미니게임_DATA!$A$5:$H$38,6,0),VLOOKUP(D30,미니게임_DATA!$A$5:$H$38,7,0), VLOOKUP(D30,미니게임_DATA!$A$5:$H$38,8,0))</f>
        <v>221</v>
      </c>
      <c r="U30" s="186">
        <f>VLOOKUP(V30,미니게임_DATA!$A$5:$BW$38,74,0)</f>
        <v>200.33333333333334</v>
      </c>
      <c r="V30" s="187" t="str">
        <f t="shared" si="2"/>
        <v>최은규</v>
      </c>
    </row>
    <row r="31" spans="3:23">
      <c r="C31" s="562"/>
      <c r="D31" s="188" t="s">
        <v>12</v>
      </c>
      <c r="E31" s="182">
        <f>IFERROR(VLOOKUP(D31,미니게임_DATA!$A:$GT,6,0),0)+5</f>
        <v>151</v>
      </c>
      <c r="F31" s="564"/>
      <c r="G31" s="567"/>
      <c r="H31" s="182">
        <f>IFERROR(VLOOKUP(D31,미니게임_DATA!$A:$GT,7,0),0)+5</f>
        <v>161</v>
      </c>
      <c r="I31" s="564"/>
      <c r="J31" s="567"/>
      <c r="K31" s="234">
        <f>IFERROR(VLOOKUP(D31,미니게임_DATA!$A:$GT,8,0),0)+5</f>
        <v>197</v>
      </c>
      <c r="L31" s="564"/>
      <c r="M31" s="567"/>
      <c r="N31" s="182">
        <f t="shared" si="15"/>
        <v>509</v>
      </c>
      <c r="O31" s="189">
        <f t="shared" si="16"/>
        <v>169.66666666666666</v>
      </c>
      <c r="P31" s="580"/>
      <c r="Q31" s="583"/>
      <c r="R31" s="190">
        <f>IFERROR(O31-VLOOKUP(D31,미니게임_DATA!$A:$BW,MATCH("rct 10g avg",미니게임_DATA!$A$3:$BW$3,0),0),0)</f>
        <v>15.866666666666646</v>
      </c>
      <c r="S31" s="172" t="str">
        <f>VLOOKUP(D31,미니게임_DATA!$A:$BW,MATCH("성별",미니게임_DATA!$A$3:$BW$3,0),0)</f>
        <v>여</v>
      </c>
      <c r="T31" s="185">
        <f>MAX(  VLOOKUP(V31,미니게임_DATA!$A$5:$H$38,6,0),VLOOKUP(D31,미니게임_DATA!$A$5:$H$38,7,0), VLOOKUP(D31,미니게임_DATA!$A$5:$H$38,8,0))</f>
        <v>192</v>
      </c>
      <c r="U31" s="186">
        <f>VLOOKUP(V31,미니게임_DATA!$A$5:$BW$38,74,0)</f>
        <v>164.66666666666666</v>
      </c>
      <c r="V31" s="187" t="str">
        <f t="shared" si="2"/>
        <v>성소라</v>
      </c>
    </row>
    <row r="32" spans="3:23">
      <c r="C32" s="562"/>
      <c r="D32" s="188" t="s">
        <v>221</v>
      </c>
      <c r="E32" s="182">
        <v>165</v>
      </c>
      <c r="F32" s="564"/>
      <c r="G32" s="567"/>
      <c r="H32" s="182">
        <v>165</v>
      </c>
      <c r="I32" s="564"/>
      <c r="J32" s="567"/>
      <c r="K32" s="182">
        <v>165</v>
      </c>
      <c r="L32" s="564"/>
      <c r="M32" s="567"/>
      <c r="N32" s="182">
        <f t="shared" si="15"/>
        <v>495</v>
      </c>
      <c r="O32" s="189">
        <f t="shared" si="16"/>
        <v>165</v>
      </c>
      <c r="P32" s="580"/>
      <c r="Q32" s="583"/>
      <c r="R32" s="190">
        <f>IFERROR(O32-VLOOKUP(D32,미니게임_DATA!$A:$BW,MATCH("rct 10g avg",미니게임_DATA!$A$3:$BW$3,0),0),0)</f>
        <v>0</v>
      </c>
      <c r="T32" s="185"/>
      <c r="U32" s="186"/>
      <c r="V32" s="187"/>
    </row>
    <row r="33" spans="2:24">
      <c r="C33" s="192"/>
      <c r="D33" s="193"/>
      <c r="E33" s="194">
        <f t="shared" ref="E33" si="17">SUMIF(E29:E32, "&gt;0")</f>
        <v>735</v>
      </c>
      <c r="F33" s="565"/>
      <c r="G33" s="568"/>
      <c r="H33" s="194">
        <f t="shared" ref="H33" si="18">SUMIF(H29:H32, "&gt;0")</f>
        <v>675</v>
      </c>
      <c r="I33" s="565"/>
      <c r="J33" s="568"/>
      <c r="K33" s="194">
        <f>SUMIF(K29:K32, "&gt;0")</f>
        <v>727</v>
      </c>
      <c r="L33" s="565"/>
      <c r="M33" s="568"/>
      <c r="N33" s="194">
        <f t="shared" si="15"/>
        <v>2137</v>
      </c>
      <c r="O33" s="195"/>
      <c r="P33" s="581"/>
      <c r="Q33" s="584"/>
      <c r="R33" s="196">
        <f>IFERROR(O33-VLOOKUP(D33,미니게임_DATA!$A:$BW,MATCH("rct 10g avg",미니게임_DATA!$A$3:$BW$3,0),0),0)</f>
        <v>0</v>
      </c>
      <c r="S33" s="185">
        <f>N33</f>
        <v>2137</v>
      </c>
      <c r="T33" s="185">
        <f>MAX(E33,H33,K33)</f>
        <v>735</v>
      </c>
      <c r="U33" s="186"/>
      <c r="V33" s="187">
        <f t="shared" si="2"/>
        <v>0</v>
      </c>
      <c r="W33" s="187">
        <f>SUM(E33,H33)</f>
        <v>1410</v>
      </c>
    </row>
    <row r="34" spans="2:24">
      <c r="H34" s="170"/>
      <c r="R34" s="170"/>
    </row>
    <row r="35" spans="2:24" s="172" customFormat="1">
      <c r="B35" s="169"/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70"/>
      <c r="O35" s="171"/>
      <c r="P35" s="169"/>
      <c r="Q35" s="169"/>
      <c r="R35" s="170"/>
      <c r="U35" s="169"/>
      <c r="V35" s="169"/>
      <c r="W35" s="169"/>
      <c r="X35" s="169"/>
    </row>
    <row r="36" spans="2:24" s="172" customFormat="1">
      <c r="B36" s="169"/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70"/>
      <c r="O36" s="171"/>
      <c r="P36" s="169"/>
      <c r="Q36" s="169"/>
      <c r="R36" s="170"/>
      <c r="U36" s="169"/>
      <c r="V36" s="169"/>
      <c r="W36" s="169"/>
      <c r="X36" s="169"/>
    </row>
  </sheetData>
  <mergeCells count="53">
    <mergeCell ref="B2:B3"/>
    <mergeCell ref="B4:B5"/>
    <mergeCell ref="C11:C13"/>
    <mergeCell ref="D11:D13"/>
    <mergeCell ref="E11:K11"/>
    <mergeCell ref="D6:E6"/>
    <mergeCell ref="D7:E7"/>
    <mergeCell ref="D8:E8"/>
    <mergeCell ref="D9:E9"/>
    <mergeCell ref="B6:B9"/>
    <mergeCell ref="O11:O13"/>
    <mergeCell ref="P11:Q12"/>
    <mergeCell ref="R11:R13"/>
    <mergeCell ref="E12:G12"/>
    <mergeCell ref="H12:J12"/>
    <mergeCell ref="K12:M12"/>
    <mergeCell ref="N11:N13"/>
    <mergeCell ref="M14:M18"/>
    <mergeCell ref="P14:P18"/>
    <mergeCell ref="Q14:Q18"/>
    <mergeCell ref="C19:C22"/>
    <mergeCell ref="F19:F23"/>
    <mergeCell ref="G19:G23"/>
    <mergeCell ref="I19:I23"/>
    <mergeCell ref="J19:J23"/>
    <mergeCell ref="L19:L23"/>
    <mergeCell ref="M19:M23"/>
    <mergeCell ref="C14:C17"/>
    <mergeCell ref="F14:F18"/>
    <mergeCell ref="G14:G18"/>
    <mergeCell ref="I14:I18"/>
    <mergeCell ref="J14:J18"/>
    <mergeCell ref="L14:L18"/>
    <mergeCell ref="P19:P23"/>
    <mergeCell ref="Q19:Q23"/>
    <mergeCell ref="C24:C27"/>
    <mergeCell ref="F24:F28"/>
    <mergeCell ref="G24:G28"/>
    <mergeCell ref="I24:I28"/>
    <mergeCell ref="J24:J28"/>
    <mergeCell ref="L24:L28"/>
    <mergeCell ref="M24:M28"/>
    <mergeCell ref="P24:P28"/>
    <mergeCell ref="Q24:Q28"/>
    <mergeCell ref="L29:L33"/>
    <mergeCell ref="M29:M33"/>
    <mergeCell ref="P29:P33"/>
    <mergeCell ref="Q29:Q33"/>
    <mergeCell ref="C29:C32"/>
    <mergeCell ref="F29:F33"/>
    <mergeCell ref="G29:G33"/>
    <mergeCell ref="I29:I33"/>
    <mergeCell ref="J29:J33"/>
  </mergeCells>
  <phoneticPr fontId="2" type="noConversion"/>
  <conditionalFormatting sqref="F38:G1048576 G34:G37 F1:G13 I1:J13 L1:M13 L34:M1048576 I34:J1048576">
    <cfRule type="cellIs" dxfId="67" priority="5" operator="equal">
      <formula>1</formula>
    </cfRule>
  </conditionalFormatting>
  <conditionalFormatting sqref="M14:M33">
    <cfRule type="cellIs" dxfId="66" priority="3" operator="equal">
      <formula>1</formula>
    </cfRule>
  </conditionalFormatting>
  <conditionalFormatting sqref="F14:G14 F19:G19 G15:G18 G30:G33 F29:G29 G25:G28 F24:G24 G20:G23">
    <cfRule type="cellIs" dxfId="65" priority="4" operator="equal">
      <formula>1</formula>
    </cfRule>
  </conditionalFormatting>
  <conditionalFormatting sqref="I14:J14 I19 I29 I24 J15:J33">
    <cfRule type="cellIs" dxfId="64" priority="2" operator="equal">
      <formula>1</formula>
    </cfRule>
  </conditionalFormatting>
  <conditionalFormatting sqref="L14 L19 L29 L24">
    <cfRule type="cellIs" dxfId="63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X32"/>
  <sheetViews>
    <sheetView showGridLines="0" zoomScaleNormal="100" workbookViewId="0">
      <selection activeCell="AE18" sqref="AE18"/>
    </sheetView>
  </sheetViews>
  <sheetFormatPr defaultColWidth="9" defaultRowHeight="13.5"/>
  <cols>
    <col min="1" max="5" width="9" style="169"/>
    <col min="6" max="7" width="5.375" style="169" customWidth="1"/>
    <col min="8" max="8" width="9" style="169"/>
    <col min="9" max="10" width="5.375" style="169" customWidth="1"/>
    <col min="11" max="11" width="9" style="169"/>
    <col min="12" max="13" width="5.375" style="169" customWidth="1"/>
    <col min="14" max="14" width="9" style="170"/>
    <col min="15" max="15" width="9.375" style="171" bestFit="1" customWidth="1"/>
    <col min="16" max="18" width="9" style="169"/>
    <col min="19" max="20" width="9" style="172" hidden="1" customWidth="1"/>
    <col min="21" max="22" width="9" style="169" hidden="1" customWidth="1"/>
    <col min="23" max="16384" width="9" style="169"/>
  </cols>
  <sheetData>
    <row r="2" spans="2:24">
      <c r="B2" s="550" t="s">
        <v>154</v>
      </c>
      <c r="C2" s="166" t="s">
        <v>156</v>
      </c>
      <c r="D2" s="167" t="str">
        <f>VLOOKUP(E2,$T$10:$V$29,3,0)</f>
        <v>천재복</v>
      </c>
      <c r="E2" s="168">
        <f t="array" ref="E2">MAX(IF($S$10:$S$29="남",$T$10:$T$29))</f>
        <v>231</v>
      </c>
    </row>
    <row r="3" spans="2:24">
      <c r="B3" s="551"/>
      <c r="C3" s="166" t="s">
        <v>157</v>
      </c>
      <c r="D3" s="167" t="s">
        <v>30</v>
      </c>
      <c r="E3" s="173">
        <f t="array" ref="E3">MAX(IF($S$10:$S$29="여",$T$10:$T$29))</f>
        <v>172</v>
      </c>
    </row>
    <row r="4" spans="2:24">
      <c r="B4" s="550" t="s">
        <v>158</v>
      </c>
      <c r="C4" s="166" t="s">
        <v>156</v>
      </c>
      <c r="D4" s="167" t="str">
        <f>VLOOKUP(E4,$U$10:$V$29,2,0)</f>
        <v>천재복</v>
      </c>
      <c r="E4" s="168">
        <f t="array" ref="E4">MAX(IF($S$10:$S$29="남",$U$10:$U$29))</f>
        <v>197</v>
      </c>
    </row>
    <row r="5" spans="2:24">
      <c r="B5" s="551"/>
      <c r="C5" s="166" t="s">
        <v>157</v>
      </c>
      <c r="D5" s="167" t="str">
        <f>VLOOKUP(E5,$U$10:$V$29,2,0)</f>
        <v>이한나</v>
      </c>
      <c r="E5" s="173">
        <f t="array" ref="E5">MAX(IF($S$10:$S$29="여",$U$10:$U$29))</f>
        <v>163.33333333333334</v>
      </c>
    </row>
    <row r="7" spans="2:24" ht="16.5" customHeight="1">
      <c r="C7" s="543" t="s">
        <v>140</v>
      </c>
      <c r="D7" s="543" t="s">
        <v>3</v>
      </c>
      <c r="E7" s="544" t="s">
        <v>141</v>
      </c>
      <c r="F7" s="545"/>
      <c r="G7" s="545"/>
      <c r="H7" s="545"/>
      <c r="I7" s="545"/>
      <c r="J7" s="545"/>
      <c r="K7" s="545"/>
      <c r="L7" s="174"/>
      <c r="M7" s="174"/>
      <c r="N7" s="569" t="s">
        <v>142</v>
      </c>
      <c r="O7" s="572" t="s">
        <v>184</v>
      </c>
      <c r="P7" s="575" t="s">
        <v>169</v>
      </c>
      <c r="Q7" s="576"/>
      <c r="R7" s="540" t="s">
        <v>143</v>
      </c>
    </row>
    <row r="8" spans="2:24">
      <c r="C8" s="543"/>
      <c r="D8" s="543"/>
      <c r="E8" s="544">
        <v>1</v>
      </c>
      <c r="F8" s="545"/>
      <c r="G8" s="560"/>
      <c r="H8" s="544">
        <v>2</v>
      </c>
      <c r="I8" s="545"/>
      <c r="J8" s="560"/>
      <c r="K8" s="544">
        <v>3</v>
      </c>
      <c r="L8" s="545"/>
      <c r="M8" s="560"/>
      <c r="N8" s="570"/>
      <c r="O8" s="573"/>
      <c r="P8" s="577"/>
      <c r="Q8" s="578"/>
      <c r="R8" s="558"/>
      <c r="X8" s="172"/>
    </row>
    <row r="9" spans="2:24" ht="27">
      <c r="C9" s="543"/>
      <c r="D9" s="543"/>
      <c r="E9" s="175" t="s">
        <v>150</v>
      </c>
      <c r="F9" s="176" t="s">
        <v>152</v>
      </c>
      <c r="G9" s="177" t="s">
        <v>153</v>
      </c>
      <c r="H9" s="175" t="s">
        <v>150</v>
      </c>
      <c r="I9" s="176" t="s">
        <v>152</v>
      </c>
      <c r="J9" s="177" t="s">
        <v>153</v>
      </c>
      <c r="K9" s="175" t="s">
        <v>150</v>
      </c>
      <c r="L9" s="176" t="s">
        <v>152</v>
      </c>
      <c r="M9" s="177" t="s">
        <v>153</v>
      </c>
      <c r="N9" s="571"/>
      <c r="O9" s="574"/>
      <c r="P9" s="178" t="s">
        <v>144</v>
      </c>
      <c r="Q9" s="179" t="s">
        <v>168</v>
      </c>
      <c r="R9" s="559"/>
      <c r="T9" s="172" t="s">
        <v>170</v>
      </c>
      <c r="U9" s="169" t="s">
        <v>171</v>
      </c>
    </row>
    <row r="10" spans="2:24">
      <c r="C10" s="561" t="s">
        <v>145</v>
      </c>
      <c r="D10" s="180" t="s">
        <v>42</v>
      </c>
      <c r="E10" s="181">
        <f>IFERROR(VLOOKUP(D$10,'미니게임_DATA(순)'!$A:$JV,65,0),0)+20</f>
        <v>111</v>
      </c>
      <c r="F10" s="563">
        <f>RANK(E14,($E$14,$E$19,$E$24,$E$29))</f>
        <v>3</v>
      </c>
      <c r="G10" s="566">
        <f>F10</f>
        <v>3</v>
      </c>
      <c r="H10" s="181">
        <f>IFERROR(VLOOKUP($D$10,'미니게임_DATA(순)'!$A$5:$BO$38,66,0),0)+20</f>
        <v>165</v>
      </c>
      <c r="I10" s="563">
        <f>RANK(H14,($H$14,$H$19,$H$24,$H$29))</f>
        <v>2</v>
      </c>
      <c r="J10" s="566">
        <f>RANK(S14,($S$14,$S$19,$S$24,$S$29))</f>
        <v>1</v>
      </c>
      <c r="K10" s="181">
        <f>IFERROR(VLOOKUP($D$10,'미니게임_DATA(순)'!$A$5:$BO$38,67,0),0)+20</f>
        <v>146</v>
      </c>
      <c r="L10" s="563">
        <f>RANK(K14,($K$14,$K$19,$K$24,$K$29))</f>
        <v>1</v>
      </c>
      <c r="M10" s="566">
        <f>P10</f>
        <v>1</v>
      </c>
      <c r="N10" s="181">
        <f>E10+H10+K10</f>
        <v>422</v>
      </c>
      <c r="O10" s="183">
        <f>N10/3</f>
        <v>140.66666666666666</v>
      </c>
      <c r="P10" s="579">
        <f>RANK(N14,($N$14,$N$19,$N$24,$N$29))</f>
        <v>1</v>
      </c>
      <c r="Q10" s="586">
        <f>MAX($N$14,$N$19,N$24,N$29)-N14</f>
        <v>0</v>
      </c>
      <c r="R10" s="184">
        <f>IFERROR(O10-VLOOKUP(D10,미니게임_DATA!$A:$BW,MATCH("rct 10g avg",미니게임_DATA!$A$3:$BW$3,0),0),0)-20</f>
        <v>3.0666666666666629</v>
      </c>
      <c r="S10" s="172" t="str">
        <f>VLOOKUP(D10,미니게임_DATA!$A:$BW,MATCH("성별",미니게임_DATA!$A$3:$BW$3,0),0)</f>
        <v>남</v>
      </c>
      <c r="T10" s="185">
        <f>MAX(E10,H10,K10)</f>
        <v>165</v>
      </c>
      <c r="U10" s="186">
        <f>N10/3</f>
        <v>140.66666666666666</v>
      </c>
      <c r="V10" s="187" t="str">
        <f>D10</f>
        <v>권진현</v>
      </c>
    </row>
    <row r="11" spans="2:24">
      <c r="C11" s="562"/>
      <c r="D11" s="188" t="s">
        <v>13</v>
      </c>
      <c r="E11" s="181">
        <f>IFERROR(VLOOKUP(D$11,'미니게임_DATA(순)'!$A:$JV,65,0),0)</f>
        <v>126</v>
      </c>
      <c r="F11" s="564"/>
      <c r="G11" s="567"/>
      <c r="H11" s="181">
        <f>IFERROR(VLOOKUP(D$11,'미니게임_DATA(순)'!$A:$JV,66,0),0)</f>
        <v>159</v>
      </c>
      <c r="I11" s="564"/>
      <c r="J11" s="567"/>
      <c r="K11" s="181">
        <f>IFERROR(VLOOKUP(D$11,'미니게임_DATA(순)'!$A:$JV,67,0),0)</f>
        <v>196</v>
      </c>
      <c r="L11" s="564"/>
      <c r="M11" s="567"/>
      <c r="N11" s="182">
        <f t="shared" ref="N11:N13" si="0">E11+H11+K11</f>
        <v>481</v>
      </c>
      <c r="O11" s="189">
        <f t="shared" ref="O11:O13" si="1">N11/3</f>
        <v>160.33333333333334</v>
      </c>
      <c r="P11" s="580"/>
      <c r="Q11" s="587"/>
      <c r="R11" s="190">
        <f>IFERROR(O11-VLOOKUP(D11,미니게임_DATA!$A:$BW,MATCH("rct 10g avg",미니게임_DATA!$A$3:$BW$3,0),0),0)</f>
        <v>-6.7666666666666515</v>
      </c>
      <c r="S11" s="172" t="str">
        <f>VLOOKUP(D11,미니게임_DATA!$A:$BW,MATCH("성별",미니게임_DATA!$A$3:$BW$3,0),0)</f>
        <v>남</v>
      </c>
      <c r="T11" s="185">
        <f t="shared" ref="T11:T29" si="2">MAX(E11,H11,K11)</f>
        <v>196</v>
      </c>
      <c r="U11" s="186">
        <f t="shared" ref="U11:U29" si="3">N11/3</f>
        <v>160.33333333333334</v>
      </c>
      <c r="V11" s="187" t="str">
        <f t="shared" ref="V11:V29" si="4">D11</f>
        <v>정동현</v>
      </c>
    </row>
    <row r="12" spans="2:24">
      <c r="C12" s="562"/>
      <c r="D12" s="188" t="s">
        <v>10</v>
      </c>
      <c r="E12" s="181">
        <f>IFERROR(VLOOKUP(D12,'미니게임_DATA(순)'!$A:$JV,65,0),0)</f>
        <v>161</v>
      </c>
      <c r="F12" s="564"/>
      <c r="G12" s="567"/>
      <c r="H12" s="181">
        <f>IFERROR(VLOOKUP(D12,'미니게임_DATA(순)'!$A:$JV,65,0),0)</f>
        <v>161</v>
      </c>
      <c r="I12" s="564"/>
      <c r="J12" s="567"/>
      <c r="K12" s="181">
        <f>IFERROR(VLOOKUP(D12,'미니게임_DATA(순)'!$A:$JV,67,0),0)</f>
        <v>155</v>
      </c>
      <c r="L12" s="564"/>
      <c r="M12" s="567"/>
      <c r="N12" s="182">
        <f t="shared" si="0"/>
        <v>477</v>
      </c>
      <c r="O12" s="189">
        <f t="shared" si="1"/>
        <v>159</v>
      </c>
      <c r="P12" s="580"/>
      <c r="Q12" s="587"/>
      <c r="R12" s="190">
        <f>IFERROR(O12-VLOOKUP(D12,미니게임_DATA!$A:$BW,MATCH("rct 10g avg",미니게임_DATA!$A$3:$BW$3,0),0),0)</f>
        <v>-9.1999999999999886</v>
      </c>
      <c r="S12" s="172" t="str">
        <f>VLOOKUP(D12,미니게임_DATA!$A:$BW,MATCH("성별",미니게임_DATA!$A$3:$BW$3,0),0)</f>
        <v>남</v>
      </c>
      <c r="T12" s="185">
        <f t="shared" si="2"/>
        <v>161</v>
      </c>
      <c r="U12" s="186">
        <f t="shared" si="3"/>
        <v>159</v>
      </c>
      <c r="V12" s="187" t="str">
        <f t="shared" si="4"/>
        <v>김신철</v>
      </c>
    </row>
    <row r="13" spans="2:24">
      <c r="C13" s="562"/>
      <c r="D13" s="191" t="s">
        <v>23</v>
      </c>
      <c r="E13" s="181">
        <f>IFERROR(VLOOKUP(D13,'미니게임_DATA(순)'!$A:$JV,65,0),0)</f>
        <v>190</v>
      </c>
      <c r="F13" s="564"/>
      <c r="G13" s="567"/>
      <c r="H13" s="181">
        <f>IFERROR(VLOOKUP(D13,'미니게임_DATA(순)'!$A:$JV,66,0),0)</f>
        <v>170</v>
      </c>
      <c r="I13" s="564"/>
      <c r="J13" s="567"/>
      <c r="K13" s="181">
        <f>IFERROR(VLOOKUP(D13,'미니게임_DATA(순)'!$A:$JV,67,0),0)</f>
        <v>231</v>
      </c>
      <c r="L13" s="564"/>
      <c r="M13" s="567"/>
      <c r="N13" s="182">
        <f t="shared" si="0"/>
        <v>591</v>
      </c>
      <c r="O13" s="189">
        <f t="shared" si="1"/>
        <v>197</v>
      </c>
      <c r="P13" s="580"/>
      <c r="Q13" s="587"/>
      <c r="R13" s="190">
        <f>IFERROR(O13-VLOOKUP(D13,미니게임_DATA!$A:$BW,MATCH("rct 10g avg",미니게임_DATA!$A$3:$BW$3,0),0),0)</f>
        <v>13.800000000000011</v>
      </c>
      <c r="S13" s="172" t="str">
        <f>VLOOKUP(D13,미니게임_DATA!$A:$BW,MATCH("성별",미니게임_DATA!$A$3:$BW$3,0),0)</f>
        <v>남</v>
      </c>
      <c r="T13" s="185">
        <f t="shared" si="2"/>
        <v>231</v>
      </c>
      <c r="U13" s="186">
        <f t="shared" si="3"/>
        <v>197</v>
      </c>
      <c r="V13" s="187" t="str">
        <f t="shared" si="4"/>
        <v>천재복</v>
      </c>
    </row>
    <row r="14" spans="2:24">
      <c r="C14" s="192"/>
      <c r="D14" s="193"/>
      <c r="E14" s="194">
        <f>SUMIF(E10:E13, "&gt;0")</f>
        <v>588</v>
      </c>
      <c r="F14" s="565"/>
      <c r="G14" s="568"/>
      <c r="H14" s="194">
        <f>SUMIF(H10:H13, "&gt;0")</f>
        <v>655</v>
      </c>
      <c r="I14" s="565"/>
      <c r="J14" s="568"/>
      <c r="K14" s="194">
        <f>SUMIF(K10:K13, "&gt;0")</f>
        <v>728</v>
      </c>
      <c r="L14" s="565"/>
      <c r="M14" s="568"/>
      <c r="N14" s="194">
        <f t="shared" ref="N14" si="5">E14+H14+K14</f>
        <v>1971</v>
      </c>
      <c r="O14" s="195"/>
      <c r="P14" s="581"/>
      <c r="Q14" s="588"/>
      <c r="R14" s="196">
        <f>IFERROR(O14-VLOOKUP(D14,미니게임_DATA!$A:$BW,MATCH("rct 10g avg",미니게임_DATA!$A$3:$BW$3,0),0),0)</f>
        <v>0</v>
      </c>
      <c r="S14" s="185">
        <f>E14+H14</f>
        <v>1243</v>
      </c>
      <c r="T14" s="185">
        <f t="shared" si="2"/>
        <v>728</v>
      </c>
      <c r="U14" s="186">
        <f t="shared" si="3"/>
        <v>657</v>
      </c>
      <c r="V14" s="187">
        <f t="shared" si="4"/>
        <v>0</v>
      </c>
    </row>
    <row r="15" spans="2:24">
      <c r="C15" s="561" t="s">
        <v>146</v>
      </c>
      <c r="D15" s="180" t="s">
        <v>21</v>
      </c>
      <c r="E15" s="181">
        <f>IFERROR(VLOOKUP(D15,'미니게임_DATA(순)'!$A:$JV,65,0),0)+25</f>
        <v>136</v>
      </c>
      <c r="F15" s="563">
        <f>RANK(E19,($E$14,$E$19,$E$24,$E$29))</f>
        <v>1</v>
      </c>
      <c r="G15" s="566">
        <f t="shared" ref="G15" si="6">F15</f>
        <v>1</v>
      </c>
      <c r="H15" s="182">
        <f>IFERROR(VLOOKUP(D15,'미니게임_DATA(순)'!$A:$JV,66,0),0)+25</f>
        <v>143</v>
      </c>
      <c r="I15" s="563">
        <f>RANK(H19,($H$14,$H$19,$H$24,$H$29))</f>
        <v>3</v>
      </c>
      <c r="J15" s="566">
        <f>RANK(S19,($S$14,$S$19,$S$24,$S$29))</f>
        <v>3</v>
      </c>
      <c r="K15" s="181">
        <f>IFERROR(VLOOKUP(D15,'미니게임_DATA(순)'!$A:$JV,67,0),0)+25</f>
        <v>131</v>
      </c>
      <c r="L15" s="563">
        <f>RANK(K19,($K$14,$K$19,$K$24,$K$29))</f>
        <v>2</v>
      </c>
      <c r="M15" s="566">
        <f t="shared" ref="M15" si="7">P15</f>
        <v>3</v>
      </c>
      <c r="N15" s="181">
        <f>E15+H15+K15</f>
        <v>410</v>
      </c>
      <c r="O15" s="183">
        <f>N15/3</f>
        <v>136.66666666666666</v>
      </c>
      <c r="P15" s="579">
        <f>RANK(N19,($N$14,$N$19,$N$24,$N$29))</f>
        <v>3</v>
      </c>
      <c r="Q15" s="582">
        <f t="shared" ref="Q15" si="8">MAX($N$14,$N$19,N$24,N$29)-N19</f>
        <v>73</v>
      </c>
      <c r="R15" s="184">
        <f>IFERROR(O15-VLOOKUP(D15,미니게임_DATA!$A:$BW,MATCH("rct 10g avg",미니게임_DATA!$A$3:$BW$3,0),0),0)-25</f>
        <v>2.4666666666666544</v>
      </c>
      <c r="S15" s="172" t="str">
        <f>VLOOKUP(D15,미니게임_DATA!$A:$BW,MATCH("성별",미니게임_DATA!$A$3:$BW$3,0),0)</f>
        <v>여</v>
      </c>
      <c r="T15" s="185">
        <f t="shared" si="2"/>
        <v>143</v>
      </c>
      <c r="U15" s="186">
        <f t="shared" si="3"/>
        <v>136.66666666666666</v>
      </c>
      <c r="V15" s="187" t="str">
        <f t="shared" si="4"/>
        <v>김주현</v>
      </c>
    </row>
    <row r="16" spans="2:24">
      <c r="C16" s="585"/>
      <c r="D16" s="197" t="s">
        <v>17</v>
      </c>
      <c r="E16" s="182">
        <f>IFERROR(VLOOKUP(D16,'미니게임_DATA(순)'!$A:$JV,65,0),0)</f>
        <v>169</v>
      </c>
      <c r="F16" s="564"/>
      <c r="G16" s="567"/>
      <c r="H16" s="182">
        <f>IFERROR(VLOOKUP(D16,'미니게임_DATA(순)'!$A:$JV,66,0),0)</f>
        <v>135</v>
      </c>
      <c r="I16" s="564"/>
      <c r="J16" s="567"/>
      <c r="K16" s="182">
        <f>IFERROR(VLOOKUP(D16,'미니게임_DATA(순)'!$A:$JV,67,0),0)</f>
        <v>217</v>
      </c>
      <c r="L16" s="564"/>
      <c r="M16" s="567"/>
      <c r="N16" s="182">
        <f t="shared" ref="N16:N19" si="9">E16+H16+K16</f>
        <v>521</v>
      </c>
      <c r="O16" s="189">
        <f t="shared" ref="O16:O18" si="10">N16/3</f>
        <v>173.66666666666666</v>
      </c>
      <c r="P16" s="580"/>
      <c r="Q16" s="583"/>
      <c r="R16" s="190">
        <f>IFERROR(O16-VLOOKUP(D16,미니게임_DATA!$A:$BW,MATCH("rct 10g avg",미니게임_DATA!$A$3:$BW$3,0),0),0)</f>
        <v>14.466666666666669</v>
      </c>
      <c r="S16" s="172" t="str">
        <f>VLOOKUP(D16,미니게임_DATA!$A:$BW,MATCH("성별",미니게임_DATA!$A$3:$BW$3,0),0)</f>
        <v>남</v>
      </c>
      <c r="T16" s="185">
        <f t="shared" si="2"/>
        <v>217</v>
      </c>
      <c r="U16" s="186">
        <f t="shared" si="3"/>
        <v>173.66666666666666</v>
      </c>
      <c r="V16" s="187" t="str">
        <f t="shared" si="4"/>
        <v>한희용</v>
      </c>
    </row>
    <row r="17" spans="2:24">
      <c r="C17" s="562"/>
      <c r="D17" s="188" t="s">
        <v>38</v>
      </c>
      <c r="E17" s="182">
        <f>IFERROR(VLOOKUP(D17,'미니게임_DATA(순)'!$A:$JV,65,0),0)</f>
        <v>131</v>
      </c>
      <c r="F17" s="564"/>
      <c r="G17" s="567"/>
      <c r="H17" s="182">
        <f>IFERROR(VLOOKUP(D17,'미니게임_DATA(순)'!$A:$JV,66,0),0)</f>
        <v>169</v>
      </c>
      <c r="I17" s="564"/>
      <c r="J17" s="567"/>
      <c r="K17" s="182">
        <f>IFERROR(VLOOKUP(D17,'미니게임_DATA(순)'!$A:$JV,67,0),0)</f>
        <v>172</v>
      </c>
      <c r="L17" s="564"/>
      <c r="M17" s="567"/>
      <c r="N17" s="182">
        <f t="shared" si="9"/>
        <v>472</v>
      </c>
      <c r="O17" s="189">
        <f t="shared" si="10"/>
        <v>157.33333333333334</v>
      </c>
      <c r="P17" s="580"/>
      <c r="Q17" s="583"/>
      <c r="R17" s="190">
        <f>IFERROR(O17-VLOOKUP(D17,미니게임_DATA!$A:$BW,MATCH("rct 10g avg",미니게임_DATA!$A$3:$BW$3,0),0),0)</f>
        <v>-5.5666666666666629</v>
      </c>
      <c r="S17" s="172" t="str">
        <f>VLOOKUP(D17,미니게임_DATA!$A:$BW,MATCH("성별",미니게임_DATA!$A$3:$BW$3,0),0)</f>
        <v>남</v>
      </c>
      <c r="T17" s="185">
        <f t="shared" si="2"/>
        <v>172</v>
      </c>
      <c r="U17" s="186">
        <f t="shared" si="3"/>
        <v>157.33333333333334</v>
      </c>
      <c r="V17" s="187" t="str">
        <f t="shared" si="4"/>
        <v>이수용</v>
      </c>
    </row>
    <row r="18" spans="2:24">
      <c r="C18" s="562"/>
      <c r="D18" s="188" t="s">
        <v>15</v>
      </c>
      <c r="E18" s="182">
        <f>IFERROR(VLOOKUP(D18,'미니게임_DATA(순)'!$A:$JV,65,0),0)</f>
        <v>173</v>
      </c>
      <c r="F18" s="564"/>
      <c r="G18" s="567"/>
      <c r="H18" s="182">
        <f>IFERROR(VLOOKUP(D18,'미니게임_DATA(순)'!$A:$JV,66,0),0)</f>
        <v>158</v>
      </c>
      <c r="I18" s="564"/>
      <c r="J18" s="567"/>
      <c r="K18" s="182">
        <f>IFERROR(VLOOKUP(D18,'미니게임_DATA(순)'!$A:$JV,67,0),0)</f>
        <v>164</v>
      </c>
      <c r="L18" s="564"/>
      <c r="M18" s="567"/>
      <c r="N18" s="182">
        <f t="shared" si="9"/>
        <v>495</v>
      </c>
      <c r="O18" s="189">
        <f t="shared" si="10"/>
        <v>165</v>
      </c>
      <c r="P18" s="580"/>
      <c r="Q18" s="583"/>
      <c r="R18" s="190">
        <f>IFERROR(O18-VLOOKUP(D18,미니게임_DATA!$A:$BW,MATCH("rct 10g avg",미니게임_DATA!$A$3:$BW$3,0),0),0)</f>
        <v>-5.4000000000000057</v>
      </c>
      <c r="S18" s="172" t="str">
        <f>VLOOKUP(D18,미니게임_DATA!$A:$BW,MATCH("성별",미니게임_DATA!$A$3:$BW$3,0),0)</f>
        <v>남</v>
      </c>
      <c r="T18" s="185">
        <f t="shared" si="2"/>
        <v>173</v>
      </c>
      <c r="U18" s="186">
        <f t="shared" si="3"/>
        <v>165</v>
      </c>
      <c r="V18" s="187" t="str">
        <f t="shared" si="4"/>
        <v>김창현</v>
      </c>
    </row>
    <row r="19" spans="2:24">
      <c r="C19" s="192"/>
      <c r="D19" s="193"/>
      <c r="E19" s="194">
        <f t="shared" ref="E19" si="11">SUMIF(E15:E18, "&gt;0")</f>
        <v>609</v>
      </c>
      <c r="F19" s="565"/>
      <c r="G19" s="568"/>
      <c r="H19" s="194">
        <f t="shared" ref="H19" si="12">SUMIF(H15:H18, "&gt;0")</f>
        <v>605</v>
      </c>
      <c r="I19" s="565"/>
      <c r="J19" s="568"/>
      <c r="K19" s="194">
        <f>SUMIF(K15:K18, "&gt;0")</f>
        <v>684</v>
      </c>
      <c r="L19" s="565"/>
      <c r="M19" s="568"/>
      <c r="N19" s="194">
        <f t="shared" si="9"/>
        <v>1898</v>
      </c>
      <c r="O19" s="195"/>
      <c r="P19" s="581"/>
      <c r="Q19" s="584"/>
      <c r="R19" s="196">
        <f>IFERROR(O19-VLOOKUP(D19,미니게임_DATA!$A:$BW,MATCH("rct 10g avg",미니게임_DATA!$A$3:$BW$3,0),0),0)</f>
        <v>0</v>
      </c>
      <c r="S19" s="185">
        <f>E19+H19</f>
        <v>1214</v>
      </c>
      <c r="T19" s="185">
        <f t="shared" si="2"/>
        <v>684</v>
      </c>
      <c r="U19" s="186">
        <f t="shared" si="3"/>
        <v>632.66666666666663</v>
      </c>
      <c r="V19" s="187">
        <f t="shared" si="4"/>
        <v>0</v>
      </c>
    </row>
    <row r="20" spans="2:24">
      <c r="C20" s="561" t="s">
        <v>147</v>
      </c>
      <c r="D20" s="180" t="s">
        <v>26</v>
      </c>
      <c r="E20" s="181">
        <f>IFERROR(VLOOKUP(D20,'미니게임_DATA(순)'!$A:$JV,65,0),0)+15</f>
        <v>130</v>
      </c>
      <c r="F20" s="563">
        <f>RANK(E24,($E$14,$E$19,$E$24,$E$29))</f>
        <v>4</v>
      </c>
      <c r="G20" s="566">
        <f t="shared" ref="G20" si="13">F20</f>
        <v>4</v>
      </c>
      <c r="H20" s="182">
        <f>IFERROR(VLOOKUP(D20,'미니게임_DATA(순)'!$A:$JV,66,0),0)+15</f>
        <v>153</v>
      </c>
      <c r="I20" s="563">
        <f>RANK(H24,($H$14,$H$19,$H$24,$H$29))</f>
        <v>1</v>
      </c>
      <c r="J20" s="566">
        <f>RANK(S24,($S$14,$S$19,$S$24,$S$29))</f>
        <v>2</v>
      </c>
      <c r="K20" s="181">
        <f>IFERROR(VLOOKUP(D20,'미니게임_DATA(순)'!$A:$JV,67,0),0)+15</f>
        <v>156</v>
      </c>
      <c r="L20" s="563">
        <f>RANK(K24,($K$14,$K$19,$K$24,$K$29))</f>
        <v>3</v>
      </c>
      <c r="M20" s="566">
        <f t="shared" ref="M20" si="14">P20</f>
        <v>2</v>
      </c>
      <c r="N20" s="181">
        <f>E20+H20+K20</f>
        <v>439</v>
      </c>
      <c r="O20" s="183">
        <f>N20/3</f>
        <v>146.33333333333334</v>
      </c>
      <c r="P20" s="579">
        <f>RANK(N24,($N$14,$N$19,$N$24,$N$29))</f>
        <v>2</v>
      </c>
      <c r="Q20" s="582">
        <f t="shared" ref="Q20" si="15">MAX($N$14,$N$19,N$24,N$29)-N24</f>
        <v>59</v>
      </c>
      <c r="R20" s="184">
        <f>IFERROR(O20-VLOOKUP(D20,미니게임_DATA!$A:$BW,MATCH("rct 10g avg",미니게임_DATA!$A$3:$BW$3,0),0),0)-15</f>
        <v>10.399999999999991</v>
      </c>
      <c r="S20" s="172" t="str">
        <f>VLOOKUP(D20,미니게임_DATA!$A:$BW,MATCH("성별",미니게임_DATA!$A$3:$BW$3,0),0)</f>
        <v>여</v>
      </c>
      <c r="T20" s="185">
        <f t="shared" si="2"/>
        <v>156</v>
      </c>
      <c r="U20" s="186">
        <f t="shared" si="3"/>
        <v>146.33333333333334</v>
      </c>
      <c r="V20" s="187" t="str">
        <f t="shared" si="4"/>
        <v>이주희</v>
      </c>
    </row>
    <row r="21" spans="2:24">
      <c r="C21" s="562"/>
      <c r="D21" s="188" t="s">
        <v>11</v>
      </c>
      <c r="E21" s="182">
        <f>IFERROR(VLOOKUP(D21,'미니게임_DATA(순)'!$A:$JV,65,0),0)</f>
        <v>123</v>
      </c>
      <c r="F21" s="564"/>
      <c r="G21" s="567"/>
      <c r="H21" s="182">
        <f>IFERROR(VLOOKUP(D21,'미니게임_DATA(순)'!$A:$JV,66,0),0)</f>
        <v>172</v>
      </c>
      <c r="I21" s="564"/>
      <c r="J21" s="567"/>
      <c r="K21" s="182">
        <f>IFERROR(VLOOKUP(D21,'미니게임_DATA(순)'!$A:$JV,67,0),0)</f>
        <v>170</v>
      </c>
      <c r="L21" s="564"/>
      <c r="M21" s="567"/>
      <c r="N21" s="182">
        <f t="shared" ref="N21:N24" si="16">E21+H21+K21</f>
        <v>465</v>
      </c>
      <c r="O21" s="189">
        <f t="shared" ref="O21:O23" si="17">N21/3</f>
        <v>155</v>
      </c>
      <c r="P21" s="580"/>
      <c r="Q21" s="583"/>
      <c r="R21" s="190">
        <f>IFERROR(O21-VLOOKUP(D21,미니게임_DATA!$A:$BW,MATCH("rct 10g avg",미니게임_DATA!$A$3:$BW$3,0),0),0)</f>
        <v>0.40000000000000568</v>
      </c>
      <c r="S21" s="172" t="str">
        <f>VLOOKUP(D21,미니게임_DATA!$A:$BW,MATCH("성별",미니게임_DATA!$A$3:$BW$3,0),0)</f>
        <v>남</v>
      </c>
      <c r="T21" s="185">
        <f t="shared" si="2"/>
        <v>172</v>
      </c>
      <c r="U21" s="186">
        <f t="shared" si="3"/>
        <v>155</v>
      </c>
      <c r="V21" s="187" t="str">
        <f t="shared" si="4"/>
        <v>박용승</v>
      </c>
    </row>
    <row r="22" spans="2:24">
      <c r="C22" s="562"/>
      <c r="D22" s="188" t="s">
        <v>16</v>
      </c>
      <c r="E22" s="182">
        <f>IFERROR(VLOOKUP(D22,'미니게임_DATA(순)'!$A:$JV,65,0),0)</f>
        <v>144</v>
      </c>
      <c r="F22" s="564"/>
      <c r="G22" s="567"/>
      <c r="H22" s="182">
        <f>IFERROR(VLOOKUP(D22,'미니게임_DATA(순)'!$A:$JV,66,0),0)</f>
        <v>144</v>
      </c>
      <c r="I22" s="564"/>
      <c r="J22" s="567"/>
      <c r="K22" s="182">
        <f>IFERROR(VLOOKUP(D22,'미니게임_DATA(순)'!$A:$JV,67,0),0)</f>
        <v>167</v>
      </c>
      <c r="L22" s="564"/>
      <c r="M22" s="567"/>
      <c r="N22" s="182">
        <f t="shared" si="16"/>
        <v>455</v>
      </c>
      <c r="O22" s="189">
        <f t="shared" si="17"/>
        <v>151.66666666666666</v>
      </c>
      <c r="P22" s="580"/>
      <c r="Q22" s="583"/>
      <c r="R22" s="190">
        <f>IFERROR(O22-VLOOKUP(D22,미니게임_DATA!$A:$BW,MATCH("rct 10g avg",미니게임_DATA!$A$3:$BW$3,0),0),0)</f>
        <v>-16.033333333333331</v>
      </c>
      <c r="S22" s="172" t="str">
        <f>VLOOKUP(D22,미니게임_DATA!$A:$BW,MATCH("성별",미니게임_DATA!$A$3:$BW$3,0),0)</f>
        <v>남</v>
      </c>
      <c r="T22" s="185">
        <f t="shared" si="2"/>
        <v>167</v>
      </c>
      <c r="U22" s="186">
        <f t="shared" si="3"/>
        <v>151.66666666666666</v>
      </c>
      <c r="V22" s="187" t="str">
        <f t="shared" si="4"/>
        <v>전병기</v>
      </c>
    </row>
    <row r="23" spans="2:24">
      <c r="C23" s="562"/>
      <c r="D23" s="188" t="s">
        <v>37</v>
      </c>
      <c r="E23" s="182">
        <f>IFERROR(VLOOKUP(D23,'미니게임_DATA(순)'!$A:$JV,65,0),0)</f>
        <v>162</v>
      </c>
      <c r="F23" s="564"/>
      <c r="G23" s="567"/>
      <c r="H23" s="182">
        <f>IFERROR(VLOOKUP(D23,'미니게임_DATA(순)'!$A:$JV,66,0),0)</f>
        <v>213</v>
      </c>
      <c r="I23" s="564"/>
      <c r="J23" s="567"/>
      <c r="K23" s="182">
        <f>IFERROR(VLOOKUP(D23,'미니게임_DATA(순)'!$A:$JV,67,0),0)</f>
        <v>178</v>
      </c>
      <c r="L23" s="564"/>
      <c r="M23" s="567"/>
      <c r="N23" s="182">
        <f t="shared" si="16"/>
        <v>553</v>
      </c>
      <c r="O23" s="189">
        <f t="shared" si="17"/>
        <v>184.33333333333334</v>
      </c>
      <c r="P23" s="580"/>
      <c r="Q23" s="583"/>
      <c r="R23" s="190">
        <f>IFERROR(O23-VLOOKUP(D23,미니게임_DATA!$A:$BW,MATCH("rct 10g avg",미니게임_DATA!$A$3:$BW$3,0),0),0)</f>
        <v>5.5333333333333314</v>
      </c>
      <c r="S23" s="172" t="str">
        <f>VLOOKUP(D23,미니게임_DATA!$A:$BW,MATCH("성별",미니게임_DATA!$A$3:$BW$3,0),0)</f>
        <v>남</v>
      </c>
      <c r="T23" s="185">
        <f t="shared" si="2"/>
        <v>213</v>
      </c>
      <c r="U23" s="186">
        <f t="shared" si="3"/>
        <v>184.33333333333334</v>
      </c>
      <c r="V23" s="187" t="str">
        <f t="shared" si="4"/>
        <v>최은규</v>
      </c>
    </row>
    <row r="24" spans="2:24">
      <c r="C24" s="192"/>
      <c r="D24" s="193"/>
      <c r="E24" s="194">
        <f t="shared" ref="E24" si="18">SUMIF(E20:E23, "&gt;0")</f>
        <v>559</v>
      </c>
      <c r="F24" s="565"/>
      <c r="G24" s="568"/>
      <c r="H24" s="194">
        <f t="shared" ref="H24" si="19">SUMIF(H20:H23, "&gt;0")</f>
        <v>682</v>
      </c>
      <c r="I24" s="565"/>
      <c r="J24" s="568"/>
      <c r="K24" s="194">
        <f>SUMIF(K20:K23, "&gt;0")</f>
        <v>671</v>
      </c>
      <c r="L24" s="565"/>
      <c r="M24" s="568"/>
      <c r="N24" s="194">
        <f t="shared" si="16"/>
        <v>1912</v>
      </c>
      <c r="O24" s="195"/>
      <c r="P24" s="581"/>
      <c r="Q24" s="584"/>
      <c r="R24" s="196">
        <f>IFERROR(O24-VLOOKUP(D24,미니게임_DATA!$A:$BW,MATCH("rct 10g avg",미니게임_DATA!$A$3:$BW$3,0),0),0)</f>
        <v>0</v>
      </c>
      <c r="S24" s="185">
        <f>E24+H24</f>
        <v>1241</v>
      </c>
      <c r="T24" s="185">
        <f t="shared" si="2"/>
        <v>682</v>
      </c>
      <c r="U24" s="186">
        <f t="shared" si="3"/>
        <v>637.33333333333337</v>
      </c>
      <c r="V24" s="187">
        <f t="shared" si="4"/>
        <v>0</v>
      </c>
    </row>
    <row r="25" spans="2:24">
      <c r="C25" s="561" t="s">
        <v>148</v>
      </c>
      <c r="D25" s="180" t="s">
        <v>41</v>
      </c>
      <c r="E25" s="181">
        <f>IFERROR(VLOOKUP(D25,'미니게임_DATA(순)'!$A:$JV,65,0),0)</f>
        <v>163</v>
      </c>
      <c r="F25" s="563">
        <f>RANK(E29,($E$14,$E$19,$E$24,$E$29))</f>
        <v>2</v>
      </c>
      <c r="G25" s="566">
        <f t="shared" ref="G25" si="20">F25</f>
        <v>2</v>
      </c>
      <c r="H25" s="182">
        <f>IFERROR(VLOOKUP(D25,'미니게임_DATA(순)'!$A:$JV,66,0),0)</f>
        <v>118</v>
      </c>
      <c r="I25" s="563">
        <f>RANK(H29,($H$14,$H$19,$H$24,$H$29))</f>
        <v>4</v>
      </c>
      <c r="J25" s="566">
        <f>RANK(S29,($S$14,$S$19,$S$24,$S$29))</f>
        <v>4</v>
      </c>
      <c r="K25" s="181">
        <f>IFERROR(VLOOKUP(D25,'미니게임_DATA(순)'!$A:$JV,67,0),0)</f>
        <v>120</v>
      </c>
      <c r="L25" s="563">
        <f>RANK(K29,($K$14,$K$19,$K$24,$K$29))</f>
        <v>4</v>
      </c>
      <c r="M25" s="566">
        <f t="shared" ref="M25" si="21">P25</f>
        <v>4</v>
      </c>
      <c r="N25" s="181">
        <f>E25+H25+K25</f>
        <v>401</v>
      </c>
      <c r="O25" s="183">
        <f>N25/3</f>
        <v>133.66666666666666</v>
      </c>
      <c r="P25" s="579">
        <f>RANK(N29,($N$14,$N$19,$N$24,$N$29))</f>
        <v>4</v>
      </c>
      <c r="Q25" s="582">
        <f t="shared" ref="Q25" si="22">MAX($N$14,$N$19,N$24,N$29)-N29</f>
        <v>255</v>
      </c>
      <c r="R25" s="184">
        <f>IFERROR(O25-VLOOKUP(D25,미니게임_DATA!$A:$BW,MATCH("rct 10g avg",미니게임_DATA!$A$3:$BW$3,0),0),0)</f>
        <v>4.6666666666666572</v>
      </c>
      <c r="S25" s="172" t="str">
        <f>VLOOKUP(D25,미니게임_DATA!$A:$BW,MATCH("성별",미니게임_DATA!$A$3:$BW$3,0),0)</f>
        <v>남</v>
      </c>
      <c r="T25" s="185">
        <f t="shared" si="2"/>
        <v>163</v>
      </c>
      <c r="U25" s="186">
        <f t="shared" si="3"/>
        <v>133.66666666666666</v>
      </c>
      <c r="V25" s="187" t="str">
        <f t="shared" si="4"/>
        <v>조헌우</v>
      </c>
    </row>
    <row r="26" spans="2:24">
      <c r="C26" s="585"/>
      <c r="D26" s="197" t="s">
        <v>30</v>
      </c>
      <c r="E26" s="182">
        <f>IFERROR(VLOOKUP(D26,'미니게임_DATA(순)'!$A:$JV,65,0),0)</f>
        <v>161</v>
      </c>
      <c r="F26" s="564"/>
      <c r="G26" s="567"/>
      <c r="H26" s="182">
        <f>IFERROR(VLOOKUP(D26,'미니게임_DATA(순)'!$A:$JV,66,0),0)</f>
        <v>157</v>
      </c>
      <c r="I26" s="564"/>
      <c r="J26" s="567"/>
      <c r="K26" s="182">
        <f>IFERROR(VLOOKUP(D26,'미니게임_DATA(순)'!$A:$JV,67,0),0)</f>
        <v>172</v>
      </c>
      <c r="L26" s="564"/>
      <c r="M26" s="567"/>
      <c r="N26" s="182">
        <f t="shared" ref="N26:N29" si="23">E26+H26+K26</f>
        <v>490</v>
      </c>
      <c r="O26" s="189">
        <f t="shared" ref="O26:O28" si="24">N26/3</f>
        <v>163.33333333333334</v>
      </c>
      <c r="P26" s="580"/>
      <c r="Q26" s="583"/>
      <c r="R26" s="190">
        <f>IFERROR(O26-VLOOKUP(D26,미니게임_DATA!$A:$BW,MATCH("rct 10g avg",미니게임_DATA!$A$3:$BW$3,0),0),0)</f>
        <v>5.2333333333333485</v>
      </c>
      <c r="S26" s="172" t="str">
        <f>VLOOKUP(D26,미니게임_DATA!$A:$BW,MATCH("성별",미니게임_DATA!$A$3:$BW$3,0),0)</f>
        <v>여</v>
      </c>
      <c r="T26" s="185">
        <f t="shared" si="2"/>
        <v>172</v>
      </c>
      <c r="U26" s="186">
        <f t="shared" si="3"/>
        <v>163.33333333333334</v>
      </c>
      <c r="V26" s="187" t="str">
        <f t="shared" si="4"/>
        <v>이한나</v>
      </c>
    </row>
    <row r="27" spans="2:24">
      <c r="C27" s="562"/>
      <c r="D27" s="188" t="s">
        <v>12</v>
      </c>
      <c r="E27" s="182">
        <f>IFERROR(VLOOKUP(D27,'미니게임_DATA(순)'!$A:$JV,65,0),0)</f>
        <v>132</v>
      </c>
      <c r="F27" s="564"/>
      <c r="G27" s="567"/>
      <c r="H27" s="182">
        <f>IFERROR(VLOOKUP(D27,'미니게임_DATA(순)'!$A:$JV,66,0),0)</f>
        <v>146</v>
      </c>
      <c r="I27" s="564"/>
      <c r="J27" s="567"/>
      <c r="K27" s="182">
        <f>IFERROR(VLOOKUP(D27,'미니게임_DATA(순)'!$A:$JV,67,0),0)</f>
        <v>128</v>
      </c>
      <c r="L27" s="564"/>
      <c r="M27" s="567"/>
      <c r="N27" s="182">
        <f t="shared" si="23"/>
        <v>406</v>
      </c>
      <c r="O27" s="189">
        <f t="shared" si="24"/>
        <v>135.33333333333334</v>
      </c>
      <c r="P27" s="580"/>
      <c r="Q27" s="583"/>
      <c r="R27" s="190">
        <f>IFERROR(O27-VLOOKUP(D27,미니게임_DATA!$A:$BW,MATCH("rct 10g avg",미니게임_DATA!$A$3:$BW$3,0),0),0)</f>
        <v>-18.466666666666669</v>
      </c>
      <c r="S27" s="172" t="str">
        <f>VLOOKUP(D27,미니게임_DATA!$A:$BW,MATCH("성별",미니게임_DATA!$A$3:$BW$3,0),0)</f>
        <v>여</v>
      </c>
      <c r="T27" s="185">
        <f t="shared" si="2"/>
        <v>146</v>
      </c>
      <c r="U27" s="186">
        <f t="shared" si="3"/>
        <v>135.33333333333334</v>
      </c>
      <c r="V27" s="187" t="str">
        <f t="shared" si="4"/>
        <v>성소라</v>
      </c>
    </row>
    <row r="28" spans="2:24">
      <c r="C28" s="562"/>
      <c r="D28" s="188" t="s">
        <v>22</v>
      </c>
      <c r="E28" s="182">
        <f>IFERROR(VLOOKUP(D28,'미니게임_DATA(순)'!$A:$JV,65,0),0)</f>
        <v>147</v>
      </c>
      <c r="F28" s="564"/>
      <c r="G28" s="567"/>
      <c r="H28" s="182">
        <f>IFERROR(VLOOKUP(D28,'미니게임_DATA(순)'!$A:$JV,66,0),0)</f>
        <v>105</v>
      </c>
      <c r="I28" s="564"/>
      <c r="J28" s="567"/>
      <c r="K28" s="182">
        <f>IFERROR(VLOOKUP(D28,'미니게임_DATA(순)'!$A:$JV,67,0),0)</f>
        <v>167</v>
      </c>
      <c r="L28" s="564"/>
      <c r="M28" s="567"/>
      <c r="N28" s="182">
        <f t="shared" si="23"/>
        <v>419</v>
      </c>
      <c r="O28" s="189">
        <f t="shared" si="24"/>
        <v>139.66666666666666</v>
      </c>
      <c r="P28" s="580"/>
      <c r="Q28" s="583"/>
      <c r="R28" s="190">
        <f>IFERROR(O28-VLOOKUP(D28,미니게임_DATA!$A:$BW,MATCH("rct 10g avg",미니게임_DATA!$A$3:$BW$3,0),0),0)</f>
        <v>-3.7333333333333485</v>
      </c>
      <c r="S28" s="172" t="str">
        <f>VLOOKUP(D28,미니게임_DATA!$A:$BW,MATCH("성별",미니게임_DATA!$A$3:$BW$3,0),0)</f>
        <v>남</v>
      </c>
      <c r="T28" s="185">
        <f t="shared" si="2"/>
        <v>167</v>
      </c>
      <c r="U28" s="186">
        <f t="shared" si="3"/>
        <v>139.66666666666666</v>
      </c>
      <c r="V28" s="187" t="str">
        <f t="shared" si="4"/>
        <v>이강은</v>
      </c>
    </row>
    <row r="29" spans="2:24">
      <c r="C29" s="192"/>
      <c r="D29" s="193"/>
      <c r="E29" s="194">
        <f t="shared" ref="E29" si="25">SUMIF(E25:E28, "&gt;0")</f>
        <v>603</v>
      </c>
      <c r="F29" s="565"/>
      <c r="G29" s="568"/>
      <c r="H29" s="194">
        <f t="shared" ref="H29" si="26">SUMIF(H25:H28, "&gt;0")</f>
        <v>526</v>
      </c>
      <c r="I29" s="565"/>
      <c r="J29" s="568"/>
      <c r="K29" s="194">
        <f>SUMIF(K25:K28, "&gt;0")</f>
        <v>587</v>
      </c>
      <c r="L29" s="565"/>
      <c r="M29" s="568"/>
      <c r="N29" s="194">
        <f t="shared" si="23"/>
        <v>1716</v>
      </c>
      <c r="O29" s="195"/>
      <c r="P29" s="581"/>
      <c r="Q29" s="584"/>
      <c r="R29" s="196">
        <f>IFERROR(O29-VLOOKUP(D29,미니게임_DATA!$A:$BW,MATCH("rct 10g avg",미니게임_DATA!$A$3:$BW$3,0),0),0)</f>
        <v>0</v>
      </c>
      <c r="S29" s="185">
        <f>E29+H29</f>
        <v>1129</v>
      </c>
      <c r="T29" s="185">
        <f t="shared" si="2"/>
        <v>603</v>
      </c>
      <c r="U29" s="186">
        <f t="shared" si="3"/>
        <v>572</v>
      </c>
      <c r="V29" s="187">
        <f t="shared" si="4"/>
        <v>0</v>
      </c>
    </row>
    <row r="30" spans="2:24">
      <c r="H30" s="170"/>
      <c r="R30" s="170"/>
    </row>
    <row r="31" spans="2:24" s="172" customFormat="1">
      <c r="B31" s="169"/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70"/>
      <c r="O31" s="171"/>
      <c r="P31" s="169"/>
      <c r="Q31" s="169"/>
      <c r="R31" s="170"/>
      <c r="U31" s="169"/>
      <c r="V31" s="169"/>
      <c r="W31" s="169"/>
      <c r="X31" s="169"/>
    </row>
    <row r="32" spans="2:24" s="172" customFormat="1">
      <c r="B32" s="169"/>
      <c r="C32" s="169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70"/>
      <c r="O32" s="171"/>
      <c r="P32" s="169"/>
      <c r="Q32" s="169"/>
      <c r="R32" s="170"/>
      <c r="U32" s="169"/>
      <c r="V32" s="169"/>
      <c r="W32" s="169"/>
      <c r="X32" s="169"/>
    </row>
  </sheetData>
  <mergeCells count="48">
    <mergeCell ref="C10:C13"/>
    <mergeCell ref="C15:C18"/>
    <mergeCell ref="C20:C23"/>
    <mergeCell ref="C25:C28"/>
    <mergeCell ref="P25:P29"/>
    <mergeCell ref="P15:P19"/>
    <mergeCell ref="L10:L14"/>
    <mergeCell ref="M10:M14"/>
    <mergeCell ref="P10:P14"/>
    <mergeCell ref="M20:M24"/>
    <mergeCell ref="P20:P24"/>
    <mergeCell ref="Q20:Q24"/>
    <mergeCell ref="Q25:Q29"/>
    <mergeCell ref="F25:F29"/>
    <mergeCell ref="G25:G29"/>
    <mergeCell ref="I25:I29"/>
    <mergeCell ref="J25:J29"/>
    <mergeCell ref="L25:L29"/>
    <mergeCell ref="M25:M29"/>
    <mergeCell ref="F20:F24"/>
    <mergeCell ref="G20:G24"/>
    <mergeCell ref="I20:I24"/>
    <mergeCell ref="J20:J24"/>
    <mergeCell ref="L20:L24"/>
    <mergeCell ref="Q10:Q14"/>
    <mergeCell ref="F15:F19"/>
    <mergeCell ref="G15:G19"/>
    <mergeCell ref="I15:I19"/>
    <mergeCell ref="J15:J19"/>
    <mergeCell ref="L15:L19"/>
    <mergeCell ref="M15:M19"/>
    <mergeCell ref="F10:F14"/>
    <mergeCell ref="G10:G14"/>
    <mergeCell ref="I10:I14"/>
    <mergeCell ref="J10:J14"/>
    <mergeCell ref="Q15:Q19"/>
    <mergeCell ref="O7:O9"/>
    <mergeCell ref="P7:Q8"/>
    <mergeCell ref="R7:R9"/>
    <mergeCell ref="E8:G8"/>
    <mergeCell ref="H8:J8"/>
    <mergeCell ref="K8:M8"/>
    <mergeCell ref="N7:N9"/>
    <mergeCell ref="B2:B3"/>
    <mergeCell ref="B4:B5"/>
    <mergeCell ref="C7:C9"/>
    <mergeCell ref="D7:D9"/>
    <mergeCell ref="E7:K7"/>
  </mergeCells>
  <phoneticPr fontId="2" type="noConversion"/>
  <conditionalFormatting sqref="F34:G1048576 G30:G33 F1:G9 I1:J9 L1:M9 L30:M1048576 I30:J1048576">
    <cfRule type="cellIs" dxfId="62" priority="8" operator="equal">
      <formula>1</formula>
    </cfRule>
  </conditionalFormatting>
  <conditionalFormatting sqref="M10:M29">
    <cfRule type="cellIs" dxfId="61" priority="5" operator="equal">
      <formula>1</formula>
    </cfRule>
  </conditionalFormatting>
  <conditionalFormatting sqref="F10:G10 F15:G15 G11:G14 G26:G29 F25:G25 G21:G24 F20:G20 G16:G19">
    <cfRule type="cellIs" dxfId="60" priority="7" operator="equal">
      <formula>1</formula>
    </cfRule>
  </conditionalFormatting>
  <conditionalFormatting sqref="I10:J10 I15:J15 J11:J14 J26:J29 I25:J25 J21:J24 I20:J20 J16:J19">
    <cfRule type="cellIs" dxfId="59" priority="3" operator="equal">
      <formula>1</formula>
    </cfRule>
  </conditionalFormatting>
  <conditionalFormatting sqref="L10 L15 L25 L20">
    <cfRule type="cellIs" dxfId="58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2:X34"/>
  <sheetViews>
    <sheetView showGridLines="0" zoomScaleNormal="100" workbookViewId="0">
      <selection activeCell="G49" sqref="G49"/>
    </sheetView>
  </sheetViews>
  <sheetFormatPr defaultColWidth="9" defaultRowHeight="13.5"/>
  <cols>
    <col min="1" max="5" width="9" style="169"/>
    <col min="6" max="7" width="5.375" style="169" customWidth="1"/>
    <col min="8" max="8" width="9" style="169"/>
    <col min="9" max="10" width="5.375" style="169" customWidth="1"/>
    <col min="11" max="11" width="9" style="169"/>
    <col min="12" max="13" width="5.375" style="169" customWidth="1"/>
    <col min="14" max="14" width="9" style="170"/>
    <col min="15" max="15" width="9.375" style="170" bestFit="1" customWidth="1"/>
    <col min="16" max="18" width="9" style="169"/>
    <col min="19" max="20" width="9" style="172" hidden="1" customWidth="1"/>
    <col min="21" max="22" width="9" style="169" hidden="1" customWidth="1"/>
    <col min="23" max="16384" width="9" style="169"/>
  </cols>
  <sheetData>
    <row r="2" spans="2:24">
      <c r="B2" s="550" t="s">
        <v>154</v>
      </c>
      <c r="C2" s="166" t="s">
        <v>156</v>
      </c>
      <c r="D2" s="167" t="str">
        <f>VLOOKUP(E2,$T$10:$V$29,3,0)</f>
        <v>전병기</v>
      </c>
      <c r="E2" s="198">
        <f t="array" ref="E2">MAX(IF($S$10:$S$29="남",$T$10:$T$29))</f>
        <v>219</v>
      </c>
    </row>
    <row r="3" spans="2:24">
      <c r="B3" s="551"/>
      <c r="C3" s="166" t="s">
        <v>157</v>
      </c>
      <c r="D3" s="167" t="str">
        <f>VLOOKUP(E3,$T$10:$V$29,3,0)</f>
        <v>성소라</v>
      </c>
      <c r="E3" s="199">
        <f t="array" ref="E3">MAX(IF($S$10:$S$29="여",$T$10:$T$29))</f>
        <v>194</v>
      </c>
    </row>
    <row r="4" spans="2:24">
      <c r="B4" s="550" t="s">
        <v>158</v>
      </c>
      <c r="C4" s="166" t="s">
        <v>156</v>
      </c>
      <c r="D4" s="167" t="str">
        <f>VLOOKUP(E4,$U$10:$V$29,2,0)</f>
        <v>조문수</v>
      </c>
      <c r="E4" s="198">
        <f t="array" ref="E4">MAX(IF($S$10:$S$29="남",$U$10:$U$29))</f>
        <v>187</v>
      </c>
    </row>
    <row r="5" spans="2:24">
      <c r="B5" s="551"/>
      <c r="C5" s="166" t="s">
        <v>157</v>
      </c>
      <c r="D5" s="167" t="str">
        <f>VLOOKUP(E5,$U$10:$V$29,2,0)</f>
        <v>성소라</v>
      </c>
      <c r="E5" s="199">
        <f t="array" ref="E5">MAX(IF($S$10:$S$29="여",$U$10:$U$29))</f>
        <v>165.33333333333334</v>
      </c>
    </row>
    <row r="7" spans="2:24" ht="16.5" customHeight="1">
      <c r="C7" s="543" t="s">
        <v>140</v>
      </c>
      <c r="D7" s="543" t="s">
        <v>3</v>
      </c>
      <c r="E7" s="544" t="s">
        <v>141</v>
      </c>
      <c r="F7" s="545"/>
      <c r="G7" s="545"/>
      <c r="H7" s="545"/>
      <c r="I7" s="545"/>
      <c r="J7" s="545"/>
      <c r="K7" s="545"/>
      <c r="L7" s="174"/>
      <c r="M7" s="174"/>
      <c r="N7" s="569" t="s">
        <v>142</v>
      </c>
      <c r="O7" s="593" t="s">
        <v>184</v>
      </c>
      <c r="P7" s="575" t="s">
        <v>169</v>
      </c>
      <c r="Q7" s="576"/>
      <c r="R7" s="540" t="s">
        <v>143</v>
      </c>
    </row>
    <row r="8" spans="2:24">
      <c r="C8" s="543"/>
      <c r="D8" s="543"/>
      <c r="E8" s="544">
        <v>1</v>
      </c>
      <c r="F8" s="545"/>
      <c r="G8" s="560"/>
      <c r="H8" s="544">
        <v>2</v>
      </c>
      <c r="I8" s="545"/>
      <c r="J8" s="560"/>
      <c r="K8" s="544">
        <v>3</v>
      </c>
      <c r="L8" s="545"/>
      <c r="M8" s="560"/>
      <c r="N8" s="570"/>
      <c r="O8" s="594"/>
      <c r="P8" s="577"/>
      <c r="Q8" s="578"/>
      <c r="R8" s="558"/>
      <c r="X8" s="172"/>
    </row>
    <row r="9" spans="2:24" ht="27">
      <c r="C9" s="543"/>
      <c r="D9" s="543"/>
      <c r="E9" s="175" t="s">
        <v>150</v>
      </c>
      <c r="F9" s="176" t="s">
        <v>152</v>
      </c>
      <c r="G9" s="177" t="s">
        <v>153</v>
      </c>
      <c r="H9" s="175" t="s">
        <v>150</v>
      </c>
      <c r="I9" s="176" t="s">
        <v>152</v>
      </c>
      <c r="J9" s="177" t="s">
        <v>153</v>
      </c>
      <c r="K9" s="175" t="s">
        <v>150</v>
      </c>
      <c r="L9" s="176" t="s">
        <v>152</v>
      </c>
      <c r="M9" s="177" t="s">
        <v>153</v>
      </c>
      <c r="N9" s="571"/>
      <c r="O9" s="595"/>
      <c r="P9" s="178" t="s">
        <v>144</v>
      </c>
      <c r="Q9" s="179" t="s">
        <v>168</v>
      </c>
      <c r="R9" s="559"/>
      <c r="T9" s="172" t="s">
        <v>170</v>
      </c>
      <c r="U9" s="169" t="s">
        <v>171</v>
      </c>
    </row>
    <row r="10" spans="2:24">
      <c r="C10" s="561" t="s">
        <v>145</v>
      </c>
      <c r="D10" s="180" t="s">
        <v>17</v>
      </c>
      <c r="E10" s="181">
        <v>158</v>
      </c>
      <c r="F10" s="563">
        <f>RANK(E13,($E$13,$E$17,$E$21,$E$25,$E$29))</f>
        <v>1</v>
      </c>
      <c r="G10" s="566">
        <f>F10</f>
        <v>1</v>
      </c>
      <c r="H10" s="181">
        <v>148</v>
      </c>
      <c r="I10" s="590">
        <f>RANK(H13,($H$13,$H$17,$H$21,$H$25,$H$29))</f>
        <v>4</v>
      </c>
      <c r="J10" s="566">
        <f>RANK(S13,($S$13,$S$17,$S$21,$S$25,$S$29))</f>
        <v>3</v>
      </c>
      <c r="K10" s="181">
        <v>127</v>
      </c>
      <c r="L10" s="563">
        <f>RANK(K13,($K$13,$K$17,$K$21,$K$25,$K$29))</f>
        <v>4</v>
      </c>
      <c r="M10" s="566">
        <f>P10</f>
        <v>4</v>
      </c>
      <c r="N10" s="200">
        <f>E10+H10+K10</f>
        <v>433</v>
      </c>
      <c r="O10" s="201">
        <f>N10/3</f>
        <v>144.33333333333334</v>
      </c>
      <c r="P10" s="579">
        <f>RANK(N13,($N$13,$N$17,$N$21,$N$25,$N$29))</f>
        <v>4</v>
      </c>
      <c r="Q10" s="586">
        <f>MAX($N$13,$N$17,N$21,N$25,$N$29)-N13</f>
        <v>93</v>
      </c>
      <c r="R10" s="184">
        <v>-14.666666666666657</v>
      </c>
      <c r="S10" s="172" t="s">
        <v>155</v>
      </c>
      <c r="T10" s="185">
        <f>MAX(E10,H10,K10)</f>
        <v>158</v>
      </c>
      <c r="U10" s="186">
        <f>N10/3</f>
        <v>144.33333333333334</v>
      </c>
      <c r="V10" s="187" t="str">
        <f>D10</f>
        <v>한희용</v>
      </c>
    </row>
    <row r="11" spans="2:24">
      <c r="C11" s="562"/>
      <c r="D11" s="188" t="s">
        <v>10</v>
      </c>
      <c r="E11" s="182">
        <v>181</v>
      </c>
      <c r="F11" s="564"/>
      <c r="G11" s="567"/>
      <c r="H11" s="182">
        <v>165</v>
      </c>
      <c r="I11" s="591"/>
      <c r="J11" s="567"/>
      <c r="K11" s="182">
        <v>185</v>
      </c>
      <c r="L11" s="564"/>
      <c r="M11" s="567"/>
      <c r="N11" s="202">
        <f t="shared" ref="N11:N29" si="0">E11+H11+K11</f>
        <v>531</v>
      </c>
      <c r="O11" s="203">
        <f t="shared" ref="O11:O28" si="1">N11/3</f>
        <v>177</v>
      </c>
      <c r="P11" s="580"/>
      <c r="Q11" s="587"/>
      <c r="R11" s="190">
        <v>6.0999999999999943</v>
      </c>
      <c r="S11" s="172" t="s">
        <v>155</v>
      </c>
      <c r="T11" s="185">
        <f t="shared" ref="T11:T28" si="2">MAX(E11,H11,K11)</f>
        <v>185</v>
      </c>
      <c r="U11" s="187">
        <f t="shared" ref="U11:U28" si="3">N11/3</f>
        <v>177</v>
      </c>
      <c r="V11" s="187" t="str">
        <f t="shared" ref="V11:V28" si="4">D11</f>
        <v>김신철</v>
      </c>
    </row>
    <row r="12" spans="2:24">
      <c r="C12" s="562"/>
      <c r="D12" s="191" t="s">
        <v>24</v>
      </c>
      <c r="E12" s="182">
        <v>182</v>
      </c>
      <c r="F12" s="564"/>
      <c r="G12" s="567"/>
      <c r="H12" s="182">
        <v>162</v>
      </c>
      <c r="I12" s="591"/>
      <c r="J12" s="567"/>
      <c r="K12" s="182">
        <v>130</v>
      </c>
      <c r="L12" s="564"/>
      <c r="M12" s="567"/>
      <c r="N12" s="202">
        <f t="shared" si="0"/>
        <v>474</v>
      </c>
      <c r="O12" s="203">
        <f t="shared" si="1"/>
        <v>158</v>
      </c>
      <c r="P12" s="580"/>
      <c r="Q12" s="587"/>
      <c r="R12" s="190">
        <v>7.9000000000000057</v>
      </c>
      <c r="S12" s="172" t="s">
        <v>155</v>
      </c>
      <c r="T12" s="185">
        <f t="shared" si="2"/>
        <v>182</v>
      </c>
      <c r="U12" s="187">
        <f t="shared" si="3"/>
        <v>158</v>
      </c>
      <c r="V12" s="187" t="str">
        <f t="shared" si="4"/>
        <v>김기선</v>
      </c>
    </row>
    <row r="13" spans="2:24">
      <c r="C13" s="192"/>
      <c r="D13" s="193"/>
      <c r="E13" s="194">
        <f>SUMIF(E10:E12, "&gt;0")</f>
        <v>521</v>
      </c>
      <c r="F13" s="565"/>
      <c r="G13" s="568"/>
      <c r="H13" s="194">
        <f>SUMIF(H10:H12, "&gt;0")</f>
        <v>475</v>
      </c>
      <c r="I13" s="592"/>
      <c r="J13" s="568"/>
      <c r="K13" s="194">
        <f>SUMIF(K10:K12, "&gt;0")</f>
        <v>442</v>
      </c>
      <c r="L13" s="565"/>
      <c r="M13" s="568"/>
      <c r="N13" s="204">
        <f t="shared" si="0"/>
        <v>1438</v>
      </c>
      <c r="O13" s="205"/>
      <c r="P13" s="581"/>
      <c r="Q13" s="588"/>
      <c r="R13" s="196">
        <f>SUMIF(R10:R12, "&gt;0") + SUMIF(R10:R12, "&lt;0")</f>
        <v>-0.66666666666665719</v>
      </c>
      <c r="S13" s="172">
        <f>E13+H13</f>
        <v>996</v>
      </c>
      <c r="V13" s="187">
        <f t="shared" si="4"/>
        <v>0</v>
      </c>
    </row>
    <row r="14" spans="2:24">
      <c r="C14" s="561" t="s">
        <v>146</v>
      </c>
      <c r="D14" s="180" t="s">
        <v>38</v>
      </c>
      <c r="E14" s="181">
        <v>167</v>
      </c>
      <c r="F14" s="563">
        <f>RANK(E17,($E$13,$E$17,$E$21,$E$25,$E$29))</f>
        <v>4</v>
      </c>
      <c r="G14" s="566">
        <f t="shared" ref="G14" si="5">F14</f>
        <v>4</v>
      </c>
      <c r="H14" s="181">
        <v>168</v>
      </c>
      <c r="I14" s="563">
        <f>RANK(H17,($H$13,$H$17,$H$21,$H$25,$H$29))</f>
        <v>1</v>
      </c>
      <c r="J14" s="566">
        <f>RANK(S17,($S$13,$S$17,$S$21,$S$25,$S$29))</f>
        <v>2</v>
      </c>
      <c r="K14" s="181">
        <v>152</v>
      </c>
      <c r="L14" s="563">
        <f>RANK(K17,($K$13,$K$17,$K$21,$K$25,$K$29))</f>
        <v>1</v>
      </c>
      <c r="M14" s="566">
        <f t="shared" ref="M14" si="6">P14</f>
        <v>2</v>
      </c>
      <c r="N14" s="200">
        <f t="shared" si="0"/>
        <v>487</v>
      </c>
      <c r="O14" s="201">
        <f t="shared" si="1"/>
        <v>162.33333333333334</v>
      </c>
      <c r="P14" s="579">
        <f>RANK(N17,($N$13,$N$17,$N$21,$N$25,$N$29))</f>
        <v>2</v>
      </c>
      <c r="Q14" s="582">
        <f t="shared" ref="Q14" si="7">MAX($N$13,$N$17,N$21,N$25,$N$29)-N17</f>
        <v>8</v>
      </c>
      <c r="R14" s="184">
        <v>-9.5666666666666629</v>
      </c>
      <c r="S14" s="172" t="s">
        <v>155</v>
      </c>
      <c r="T14" s="185">
        <f t="shared" si="2"/>
        <v>168</v>
      </c>
      <c r="U14" s="187">
        <f t="shared" si="3"/>
        <v>162.33333333333334</v>
      </c>
      <c r="V14" s="187" t="str">
        <f t="shared" si="4"/>
        <v>이수용</v>
      </c>
    </row>
    <row r="15" spans="2:24">
      <c r="C15" s="562"/>
      <c r="D15" s="188" t="s">
        <v>9</v>
      </c>
      <c r="E15" s="182">
        <v>151</v>
      </c>
      <c r="F15" s="564"/>
      <c r="G15" s="567"/>
      <c r="H15" s="182">
        <v>173</v>
      </c>
      <c r="I15" s="564"/>
      <c r="J15" s="567"/>
      <c r="K15" s="182">
        <v>201</v>
      </c>
      <c r="L15" s="564"/>
      <c r="M15" s="567"/>
      <c r="N15" s="202">
        <f t="shared" si="0"/>
        <v>525</v>
      </c>
      <c r="O15" s="203">
        <f t="shared" si="1"/>
        <v>175</v>
      </c>
      <c r="P15" s="580"/>
      <c r="Q15" s="583"/>
      <c r="R15" s="190">
        <v>3.1999999999999886</v>
      </c>
      <c r="S15" s="172" t="s">
        <v>155</v>
      </c>
      <c r="T15" s="185">
        <f t="shared" si="2"/>
        <v>201</v>
      </c>
      <c r="U15" s="187">
        <f t="shared" si="3"/>
        <v>175</v>
      </c>
      <c r="V15" s="187" t="str">
        <f t="shared" si="4"/>
        <v>백동민</v>
      </c>
    </row>
    <row r="16" spans="2:24">
      <c r="C16" s="562"/>
      <c r="D16" s="188" t="s">
        <v>22</v>
      </c>
      <c r="E16" s="182">
        <v>172</v>
      </c>
      <c r="F16" s="564"/>
      <c r="G16" s="567"/>
      <c r="H16" s="182">
        <v>182</v>
      </c>
      <c r="I16" s="564"/>
      <c r="J16" s="567"/>
      <c r="K16" s="182">
        <v>157</v>
      </c>
      <c r="L16" s="564"/>
      <c r="M16" s="567"/>
      <c r="N16" s="202">
        <f t="shared" si="0"/>
        <v>511</v>
      </c>
      <c r="O16" s="203">
        <f t="shared" si="1"/>
        <v>170.33333333333334</v>
      </c>
      <c r="P16" s="580"/>
      <c r="Q16" s="583"/>
      <c r="R16" s="190">
        <v>18.033333333333331</v>
      </c>
      <c r="S16" s="172" t="s">
        <v>155</v>
      </c>
      <c r="T16" s="185">
        <f t="shared" si="2"/>
        <v>182</v>
      </c>
      <c r="U16" s="187">
        <f t="shared" si="3"/>
        <v>170.33333333333334</v>
      </c>
      <c r="V16" s="187" t="str">
        <f t="shared" si="4"/>
        <v>이강은</v>
      </c>
    </row>
    <row r="17" spans="3:22">
      <c r="C17" s="192"/>
      <c r="D17" s="193"/>
      <c r="E17" s="194">
        <f t="shared" ref="E17" si="8">SUMIF(E14:E16, "&gt;0")</f>
        <v>490</v>
      </c>
      <c r="F17" s="565"/>
      <c r="G17" s="568"/>
      <c r="H17" s="194">
        <f t="shared" ref="H17" si="9">SUMIF(H14:H16, "&gt;0")</f>
        <v>523</v>
      </c>
      <c r="I17" s="565"/>
      <c r="J17" s="568"/>
      <c r="K17" s="194">
        <f t="shared" ref="K17" si="10">SUMIF(K14:K16, "&gt;0")</f>
        <v>510</v>
      </c>
      <c r="L17" s="565"/>
      <c r="M17" s="568"/>
      <c r="N17" s="204">
        <f t="shared" si="0"/>
        <v>1523</v>
      </c>
      <c r="O17" s="205"/>
      <c r="P17" s="581"/>
      <c r="Q17" s="584"/>
      <c r="R17" s="196">
        <f>SUMIF(R14:R16, "&gt;0") + SUMIF(R14:R16, "&lt;0")</f>
        <v>11.666666666666657</v>
      </c>
      <c r="S17" s="172">
        <f>E17+H17</f>
        <v>1013</v>
      </c>
      <c r="V17" s="187">
        <f t="shared" si="4"/>
        <v>0</v>
      </c>
    </row>
    <row r="18" spans="3:22">
      <c r="C18" s="561" t="s">
        <v>147</v>
      </c>
      <c r="D18" s="180" t="s">
        <v>13</v>
      </c>
      <c r="E18" s="181">
        <v>180</v>
      </c>
      <c r="F18" s="563">
        <f>RANK(E21,($E$13,$E$17,$E$21,$E$25,$E$29))</f>
        <v>2</v>
      </c>
      <c r="G18" s="566">
        <f t="shared" ref="G18" si="11">F18</f>
        <v>2</v>
      </c>
      <c r="H18" s="181">
        <v>146</v>
      </c>
      <c r="I18" s="563">
        <f>RANK(H21,($H$13,$H$17,$H$21,$H$25,$H$29))</f>
        <v>5</v>
      </c>
      <c r="J18" s="566">
        <f>RANK(S21,($S$13,$S$17,$S$21,$S$25,$S$29))</f>
        <v>4</v>
      </c>
      <c r="K18" s="181">
        <v>143</v>
      </c>
      <c r="L18" s="563">
        <f>RANK(K21,($K$13,$K$17,$K$21,$K$25,$K$29))</f>
        <v>5</v>
      </c>
      <c r="M18" s="566">
        <f t="shared" ref="M18" si="12">P18</f>
        <v>5</v>
      </c>
      <c r="N18" s="200">
        <f t="shared" si="0"/>
        <v>469</v>
      </c>
      <c r="O18" s="201">
        <f t="shared" si="1"/>
        <v>156.33333333333334</v>
      </c>
      <c r="P18" s="579">
        <f>RANK(N21,($N$13,$N$17,$N$21,$N$25,$N$29))</f>
        <v>5</v>
      </c>
      <c r="Q18" s="582">
        <f t="shared" ref="Q18" si="13">MAX($N$13,$N$17,N$21,N$25,$N$29)-N21</f>
        <v>154</v>
      </c>
      <c r="R18" s="184">
        <v>-7.7666666666666515</v>
      </c>
      <c r="S18" s="172" t="s">
        <v>155</v>
      </c>
      <c r="T18" s="185">
        <f t="shared" si="2"/>
        <v>180</v>
      </c>
      <c r="U18" s="187">
        <f t="shared" si="3"/>
        <v>156.33333333333334</v>
      </c>
      <c r="V18" s="187" t="str">
        <f t="shared" si="4"/>
        <v>정동현</v>
      </c>
    </row>
    <row r="19" spans="3:22">
      <c r="C19" s="562"/>
      <c r="D19" s="188" t="s">
        <v>37</v>
      </c>
      <c r="E19" s="182">
        <v>180</v>
      </c>
      <c r="F19" s="564"/>
      <c r="G19" s="567"/>
      <c r="H19" s="182">
        <v>147</v>
      </c>
      <c r="I19" s="564"/>
      <c r="J19" s="567"/>
      <c r="K19" s="182">
        <v>128</v>
      </c>
      <c r="L19" s="564"/>
      <c r="M19" s="567"/>
      <c r="N19" s="202">
        <f t="shared" si="0"/>
        <v>455</v>
      </c>
      <c r="O19" s="203">
        <f t="shared" si="1"/>
        <v>151.66666666666666</v>
      </c>
      <c r="P19" s="580"/>
      <c r="Q19" s="583"/>
      <c r="R19" s="190">
        <v>-10.633333333333354</v>
      </c>
      <c r="S19" s="172" t="s">
        <v>155</v>
      </c>
      <c r="T19" s="185">
        <f t="shared" si="2"/>
        <v>180</v>
      </c>
      <c r="U19" s="187">
        <f t="shared" si="3"/>
        <v>151.66666666666666</v>
      </c>
      <c r="V19" s="187" t="str">
        <f t="shared" si="4"/>
        <v>최은규</v>
      </c>
    </row>
    <row r="20" spans="3:22">
      <c r="C20" s="562"/>
      <c r="D20" s="188" t="s">
        <v>11</v>
      </c>
      <c r="E20" s="182">
        <v>158</v>
      </c>
      <c r="F20" s="564"/>
      <c r="G20" s="567"/>
      <c r="H20" s="182">
        <v>159</v>
      </c>
      <c r="I20" s="564"/>
      <c r="J20" s="567"/>
      <c r="K20" s="182">
        <v>136</v>
      </c>
      <c r="L20" s="564"/>
      <c r="M20" s="567"/>
      <c r="N20" s="202">
        <f t="shared" si="0"/>
        <v>453</v>
      </c>
      <c r="O20" s="203">
        <f t="shared" si="1"/>
        <v>151</v>
      </c>
      <c r="P20" s="580"/>
      <c r="Q20" s="583"/>
      <c r="R20" s="190">
        <v>-16</v>
      </c>
      <c r="S20" s="172" t="s">
        <v>155</v>
      </c>
      <c r="T20" s="185">
        <f t="shared" si="2"/>
        <v>159</v>
      </c>
      <c r="U20" s="187">
        <f t="shared" si="3"/>
        <v>151</v>
      </c>
      <c r="V20" s="187" t="str">
        <f t="shared" si="4"/>
        <v>박용승</v>
      </c>
    </row>
    <row r="21" spans="3:22">
      <c r="C21" s="192"/>
      <c r="D21" s="193"/>
      <c r="E21" s="194">
        <f t="shared" ref="E21" si="14">SUMIF(E18:E20, "&gt;0")</f>
        <v>518</v>
      </c>
      <c r="F21" s="565"/>
      <c r="G21" s="568"/>
      <c r="H21" s="194">
        <f t="shared" ref="H21" si="15">SUMIF(H18:H20, "&gt;0")</f>
        <v>452</v>
      </c>
      <c r="I21" s="565"/>
      <c r="J21" s="568"/>
      <c r="K21" s="194">
        <f t="shared" ref="K21" si="16">SUMIF(K18:K20, "&gt;0")</f>
        <v>407</v>
      </c>
      <c r="L21" s="565"/>
      <c r="M21" s="568"/>
      <c r="N21" s="204">
        <f t="shared" si="0"/>
        <v>1377</v>
      </c>
      <c r="O21" s="205"/>
      <c r="P21" s="581"/>
      <c r="Q21" s="584"/>
      <c r="R21" s="196">
        <f>SUMIF(R18:R20, "&gt;0") + SUMIF(R18:R20, "&lt;0")</f>
        <v>-34.400000000000006</v>
      </c>
      <c r="S21" s="172">
        <f>E21+H21</f>
        <v>970</v>
      </c>
      <c r="V21" s="187">
        <f t="shared" si="4"/>
        <v>0</v>
      </c>
    </row>
    <row r="22" spans="3:22">
      <c r="C22" s="561" t="s">
        <v>148</v>
      </c>
      <c r="D22" s="180" t="s">
        <v>16</v>
      </c>
      <c r="E22" s="181">
        <v>180</v>
      </c>
      <c r="F22" s="563">
        <f>RANK(E25,($E$13,$E$17,$E$21,$E$25,$E$29))</f>
        <v>5</v>
      </c>
      <c r="G22" s="566">
        <f t="shared" ref="G22" si="17">F22</f>
        <v>5</v>
      </c>
      <c r="H22" s="181">
        <v>148</v>
      </c>
      <c r="I22" s="563">
        <f>RANK(H25,($H$13,$H$17,$H$21,$H$25,$H$29))</f>
        <v>3</v>
      </c>
      <c r="J22" s="566">
        <f>RANK(S25,($S$13,$S$17,$S$21,$S$25,$S$29))</f>
        <v>5</v>
      </c>
      <c r="K22" s="181">
        <v>219</v>
      </c>
      <c r="L22" s="563">
        <f>RANK(K25,($K$13,$K$17,$K$21,$K$25,$K$29))</f>
        <v>2</v>
      </c>
      <c r="M22" s="566">
        <f t="shared" ref="M22" si="18">P22</f>
        <v>3</v>
      </c>
      <c r="N22" s="200">
        <f t="shared" si="0"/>
        <v>547</v>
      </c>
      <c r="O22" s="201">
        <f t="shared" si="1"/>
        <v>182.33333333333334</v>
      </c>
      <c r="P22" s="579">
        <f>RANK(N25,($N$13,$N$17,$N$21,$N$25,$N$29))</f>
        <v>3</v>
      </c>
      <c r="Q22" s="582">
        <f t="shared" ref="Q22" si="19">MAX($N$13,$N$17,N$21,N$25,$N$29)-N25</f>
        <v>90</v>
      </c>
      <c r="R22" s="184">
        <v>12.033333333333331</v>
      </c>
      <c r="S22" s="172" t="s">
        <v>155</v>
      </c>
      <c r="T22" s="185">
        <f t="shared" si="2"/>
        <v>219</v>
      </c>
      <c r="U22" s="187">
        <f t="shared" si="3"/>
        <v>182.33333333333334</v>
      </c>
      <c r="V22" s="187" t="str">
        <f t="shared" si="4"/>
        <v>전병기</v>
      </c>
    </row>
    <row r="23" spans="3:22">
      <c r="C23" s="562"/>
      <c r="D23" s="188" t="s">
        <v>12</v>
      </c>
      <c r="E23" s="182">
        <v>147</v>
      </c>
      <c r="F23" s="564"/>
      <c r="G23" s="567"/>
      <c r="H23" s="182">
        <v>194</v>
      </c>
      <c r="I23" s="564"/>
      <c r="J23" s="567"/>
      <c r="K23" s="182">
        <v>155</v>
      </c>
      <c r="L23" s="564"/>
      <c r="M23" s="567"/>
      <c r="N23" s="202">
        <f t="shared" si="0"/>
        <v>496</v>
      </c>
      <c r="O23" s="203">
        <f t="shared" si="1"/>
        <v>165.33333333333334</v>
      </c>
      <c r="P23" s="580"/>
      <c r="Q23" s="583"/>
      <c r="R23" s="190">
        <v>10.733333333333348</v>
      </c>
      <c r="S23" s="172" t="s">
        <v>223</v>
      </c>
      <c r="T23" s="185">
        <f t="shared" si="2"/>
        <v>194</v>
      </c>
      <c r="U23" s="187">
        <f t="shared" si="3"/>
        <v>165.33333333333334</v>
      </c>
      <c r="V23" s="187" t="str">
        <f t="shared" si="4"/>
        <v>성소라</v>
      </c>
    </row>
    <row r="24" spans="3:22">
      <c r="C24" s="562"/>
      <c r="D24" s="188" t="s">
        <v>30</v>
      </c>
      <c r="E24" s="182">
        <v>120</v>
      </c>
      <c r="F24" s="564"/>
      <c r="G24" s="567"/>
      <c r="H24" s="182">
        <v>143</v>
      </c>
      <c r="I24" s="564"/>
      <c r="J24" s="567"/>
      <c r="K24" s="182">
        <v>135</v>
      </c>
      <c r="L24" s="564"/>
      <c r="M24" s="567"/>
      <c r="N24" s="202">
        <f t="shared" si="0"/>
        <v>398</v>
      </c>
      <c r="O24" s="203">
        <f t="shared" si="1"/>
        <v>132.66666666666666</v>
      </c>
      <c r="P24" s="580"/>
      <c r="Q24" s="583"/>
      <c r="R24" s="190">
        <v>-19.233333333333348</v>
      </c>
      <c r="S24" s="172" t="s">
        <v>223</v>
      </c>
      <c r="T24" s="185">
        <f t="shared" si="2"/>
        <v>143</v>
      </c>
      <c r="U24" s="187">
        <f t="shared" si="3"/>
        <v>132.66666666666666</v>
      </c>
      <c r="V24" s="187" t="str">
        <f t="shared" si="4"/>
        <v>이한나</v>
      </c>
    </row>
    <row r="25" spans="3:22">
      <c r="C25" s="192"/>
      <c r="D25" s="193"/>
      <c r="E25" s="194">
        <f t="shared" ref="E25" si="20">SUMIF(E22:E24, "&gt;0")</f>
        <v>447</v>
      </c>
      <c r="F25" s="565"/>
      <c r="G25" s="568"/>
      <c r="H25" s="194">
        <f t="shared" ref="H25" si="21">SUMIF(H22:H24, "&gt;0")</f>
        <v>485</v>
      </c>
      <c r="I25" s="565"/>
      <c r="J25" s="568"/>
      <c r="K25" s="194">
        <f t="shared" ref="K25" si="22">SUMIF(K22:K24, "&gt;0")</f>
        <v>509</v>
      </c>
      <c r="L25" s="565"/>
      <c r="M25" s="568"/>
      <c r="N25" s="204">
        <f t="shared" si="0"/>
        <v>1441</v>
      </c>
      <c r="O25" s="205"/>
      <c r="P25" s="581"/>
      <c r="Q25" s="584"/>
      <c r="R25" s="196">
        <f>SUMIF(R22:R24, "&gt;0") + SUMIF(R22:R24, "&lt;0")</f>
        <v>3.5333333333333314</v>
      </c>
      <c r="S25" s="172">
        <f>E25+H25</f>
        <v>932</v>
      </c>
      <c r="V25" s="187">
        <f t="shared" si="4"/>
        <v>0</v>
      </c>
    </row>
    <row r="26" spans="3:22">
      <c r="C26" s="561" t="s">
        <v>149</v>
      </c>
      <c r="D26" s="180" t="s">
        <v>8</v>
      </c>
      <c r="E26" s="181">
        <v>174</v>
      </c>
      <c r="F26" s="563">
        <f>RANK(E29,($E$13,$E$17,$E$21,$E$25,$E$29))</f>
        <v>3</v>
      </c>
      <c r="G26" s="566">
        <f t="shared" ref="G26" si="23">F26</f>
        <v>3</v>
      </c>
      <c r="H26" s="181">
        <v>202</v>
      </c>
      <c r="I26" s="563">
        <f>RANK(H29,($H$13,$H$17,$H$21,$H$25,$H$29))</f>
        <v>2</v>
      </c>
      <c r="J26" s="566">
        <f>RANK(S29,($S$13,$S$17,$S$21,$S$25,$S$29))</f>
        <v>1</v>
      </c>
      <c r="K26" s="181">
        <v>185</v>
      </c>
      <c r="L26" s="563">
        <f>RANK(K29,($K$13,$K$17,$K$21,$K$25,$K$29))</f>
        <v>3</v>
      </c>
      <c r="M26" s="566">
        <f t="shared" ref="M26" si="24">P26</f>
        <v>1</v>
      </c>
      <c r="N26" s="200">
        <f t="shared" si="0"/>
        <v>561</v>
      </c>
      <c r="O26" s="201">
        <f t="shared" si="1"/>
        <v>187</v>
      </c>
      <c r="P26" s="579">
        <f>RANK(N29,($N$13,$N$17,$N$21,$N$25,$N$29))</f>
        <v>1</v>
      </c>
      <c r="Q26" s="582">
        <f t="shared" ref="Q26" si="25">MAX($N$13,$N$17,N$21,N$25,$N$29)-N29</f>
        <v>0</v>
      </c>
      <c r="R26" s="184">
        <v>15</v>
      </c>
      <c r="S26" s="172" t="s">
        <v>155</v>
      </c>
      <c r="T26" s="185">
        <f t="shared" si="2"/>
        <v>202</v>
      </c>
      <c r="U26" s="187">
        <f t="shared" si="3"/>
        <v>187</v>
      </c>
      <c r="V26" s="187" t="str">
        <f t="shared" si="4"/>
        <v>조문수</v>
      </c>
    </row>
    <row r="27" spans="3:22">
      <c r="C27" s="562"/>
      <c r="D27" s="188" t="s">
        <v>14</v>
      </c>
      <c r="E27" s="182">
        <v>154</v>
      </c>
      <c r="F27" s="564"/>
      <c r="G27" s="567"/>
      <c r="H27" s="182">
        <v>124</v>
      </c>
      <c r="I27" s="564"/>
      <c r="J27" s="567"/>
      <c r="K27" s="182">
        <v>158</v>
      </c>
      <c r="L27" s="564"/>
      <c r="M27" s="567"/>
      <c r="N27" s="202">
        <f t="shared" si="0"/>
        <v>436</v>
      </c>
      <c r="O27" s="203">
        <f t="shared" si="1"/>
        <v>145.33333333333334</v>
      </c>
      <c r="P27" s="580"/>
      <c r="Q27" s="583"/>
      <c r="R27" s="190">
        <v>-6.9666666666666686</v>
      </c>
      <c r="S27" s="172" t="s">
        <v>155</v>
      </c>
      <c r="T27" s="185">
        <f t="shared" si="2"/>
        <v>158</v>
      </c>
      <c r="U27" s="187">
        <f t="shared" si="3"/>
        <v>145.33333333333334</v>
      </c>
      <c r="V27" s="187" t="str">
        <f t="shared" si="4"/>
        <v>채승엽</v>
      </c>
    </row>
    <row r="28" spans="3:22">
      <c r="C28" s="562"/>
      <c r="D28" s="188" t="s">
        <v>15</v>
      </c>
      <c r="E28" s="182">
        <v>185</v>
      </c>
      <c r="F28" s="564"/>
      <c r="G28" s="567"/>
      <c r="H28" s="182">
        <v>189</v>
      </c>
      <c r="I28" s="564"/>
      <c r="J28" s="567"/>
      <c r="K28" s="182">
        <v>160</v>
      </c>
      <c r="L28" s="564"/>
      <c r="M28" s="567"/>
      <c r="N28" s="202">
        <f t="shared" si="0"/>
        <v>534</v>
      </c>
      <c r="O28" s="203">
        <f t="shared" si="1"/>
        <v>178</v>
      </c>
      <c r="P28" s="580"/>
      <c r="Q28" s="583"/>
      <c r="R28" s="190">
        <v>17.599999999999994</v>
      </c>
      <c r="S28" s="172" t="s">
        <v>155</v>
      </c>
      <c r="T28" s="185">
        <f t="shared" si="2"/>
        <v>189</v>
      </c>
      <c r="U28" s="187">
        <f t="shared" si="3"/>
        <v>178</v>
      </c>
      <c r="V28" s="187" t="str">
        <f t="shared" si="4"/>
        <v>김창현</v>
      </c>
    </row>
    <row r="29" spans="3:22">
      <c r="C29" s="192"/>
      <c r="D29" s="193"/>
      <c r="E29" s="194">
        <f t="shared" ref="E29" si="26">SUMIF(E26:E28, "&gt;0")</f>
        <v>513</v>
      </c>
      <c r="F29" s="565"/>
      <c r="G29" s="568"/>
      <c r="H29" s="194">
        <f t="shared" ref="H29" si="27">SUMIF(H26:H28, "&gt;0")</f>
        <v>515</v>
      </c>
      <c r="I29" s="565"/>
      <c r="J29" s="568"/>
      <c r="K29" s="194">
        <f t="shared" ref="K29" si="28">SUMIF(K26:K28, "&gt;0")</f>
        <v>503</v>
      </c>
      <c r="L29" s="565"/>
      <c r="M29" s="568"/>
      <c r="N29" s="204">
        <f t="shared" si="0"/>
        <v>1531</v>
      </c>
      <c r="O29" s="205"/>
      <c r="P29" s="581"/>
      <c r="Q29" s="584"/>
      <c r="R29" s="196">
        <f>SUMIF(R26:R28, "&gt;0") + SUMIF(R26:R28, "&lt;0")</f>
        <v>25.633333333333326</v>
      </c>
      <c r="S29" s="172">
        <f>E29+H29</f>
        <v>1028</v>
      </c>
    </row>
    <row r="30" spans="3:22">
      <c r="E30" s="170"/>
      <c r="H30" s="170"/>
      <c r="K30" s="170"/>
      <c r="R30" s="170"/>
    </row>
    <row r="31" spans="3:22">
      <c r="H31" s="170"/>
      <c r="R31" s="170"/>
    </row>
    <row r="32" spans="3:22">
      <c r="H32" s="170"/>
      <c r="R32" s="170"/>
    </row>
    <row r="33" spans="18:18">
      <c r="R33" s="170"/>
    </row>
    <row r="34" spans="18:18">
      <c r="R34" s="170"/>
    </row>
  </sheetData>
  <mergeCells count="57">
    <mergeCell ref="O7:O9"/>
    <mergeCell ref="P7:Q8"/>
    <mergeCell ref="Q10:Q13"/>
    <mergeCell ref="Q26:Q29"/>
    <mergeCell ref="M10:M13"/>
    <mergeCell ref="M14:M17"/>
    <mergeCell ref="M18:M21"/>
    <mergeCell ref="M22:M25"/>
    <mergeCell ref="M26:M29"/>
    <mergeCell ref="Q22:Q25"/>
    <mergeCell ref="Q18:Q21"/>
    <mergeCell ref="Q14:Q17"/>
    <mergeCell ref="P10:P13"/>
    <mergeCell ref="P26:P29"/>
    <mergeCell ref="P22:P25"/>
    <mergeCell ref="P18:P21"/>
    <mergeCell ref="P14:P17"/>
    <mergeCell ref="J10:J13"/>
    <mergeCell ref="J14:J17"/>
    <mergeCell ref="J18:J21"/>
    <mergeCell ref="J22:J25"/>
    <mergeCell ref="J26:J29"/>
    <mergeCell ref="L10:L13"/>
    <mergeCell ref="L14:L17"/>
    <mergeCell ref="L18:L21"/>
    <mergeCell ref="L22:L25"/>
    <mergeCell ref="L26:L29"/>
    <mergeCell ref="I10:I13"/>
    <mergeCell ref="I14:I17"/>
    <mergeCell ref="I18:I21"/>
    <mergeCell ref="I22:I25"/>
    <mergeCell ref="I26:I29"/>
    <mergeCell ref="B2:B3"/>
    <mergeCell ref="B4:B5"/>
    <mergeCell ref="R7:R9"/>
    <mergeCell ref="C10:C12"/>
    <mergeCell ref="C14:C16"/>
    <mergeCell ref="C7:C9"/>
    <mergeCell ref="D7:D9"/>
    <mergeCell ref="E7:K7"/>
    <mergeCell ref="N7:N9"/>
    <mergeCell ref="E8:G8"/>
    <mergeCell ref="H8:J8"/>
    <mergeCell ref="K8:M8"/>
    <mergeCell ref="F10:F13"/>
    <mergeCell ref="F14:F17"/>
    <mergeCell ref="G14:G17"/>
    <mergeCell ref="G10:G13"/>
    <mergeCell ref="C18:C20"/>
    <mergeCell ref="C22:C24"/>
    <mergeCell ref="C26:C28"/>
    <mergeCell ref="F26:F29"/>
    <mergeCell ref="G26:G29"/>
    <mergeCell ref="G22:G25"/>
    <mergeCell ref="F22:F25"/>
    <mergeCell ref="F18:F21"/>
    <mergeCell ref="G18:G21"/>
  </mergeCells>
  <phoneticPr fontId="2" type="noConversion"/>
  <conditionalFormatting sqref="F1:G1048576">
    <cfRule type="cellIs" dxfId="57" priority="3" operator="equal">
      <formula>1</formula>
    </cfRule>
  </conditionalFormatting>
  <conditionalFormatting sqref="I1:J1048576">
    <cfRule type="cellIs" dxfId="56" priority="2" operator="equal">
      <formula>1</formula>
    </cfRule>
  </conditionalFormatting>
  <conditionalFormatting sqref="L1:M1048576">
    <cfRule type="cellIs" dxfId="55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2:X34"/>
  <sheetViews>
    <sheetView showGridLines="0" zoomScaleNormal="100" workbookViewId="0">
      <selection activeCell="E52" sqref="E52"/>
    </sheetView>
  </sheetViews>
  <sheetFormatPr defaultColWidth="9" defaultRowHeight="13.5"/>
  <cols>
    <col min="1" max="5" width="9" style="169"/>
    <col min="6" max="7" width="5.375" style="169" customWidth="1"/>
    <col min="8" max="8" width="9" style="169"/>
    <col min="9" max="10" width="5.375" style="169" customWidth="1"/>
    <col min="11" max="11" width="9" style="169"/>
    <col min="12" max="13" width="5.375" style="169" customWidth="1"/>
    <col min="14" max="14" width="9" style="170"/>
    <col min="15" max="15" width="9.375" style="170" bestFit="1" customWidth="1"/>
    <col min="16" max="18" width="9" style="169"/>
    <col min="19" max="20" width="9" style="172" hidden="1" customWidth="1"/>
    <col min="21" max="22" width="9" style="169" hidden="1" customWidth="1"/>
    <col min="23" max="16384" width="9" style="169"/>
  </cols>
  <sheetData>
    <row r="2" spans="2:24">
      <c r="B2" s="550" t="s">
        <v>154</v>
      </c>
      <c r="C2" s="166" t="s">
        <v>156</v>
      </c>
      <c r="D2" s="167" t="str">
        <f>VLOOKUP(E2,$T$10:$V$29,3,0)</f>
        <v>한희용</v>
      </c>
      <c r="E2" s="198">
        <f t="array" ref="E2">MAX(IF($S$10:$S$29="남",$T$10:$T$29))</f>
        <v>227</v>
      </c>
    </row>
    <row r="3" spans="2:24">
      <c r="B3" s="551"/>
      <c r="C3" s="166" t="s">
        <v>157</v>
      </c>
      <c r="D3" s="167" t="str">
        <f>VLOOKUP(E3,$T$10:$V$29,3,0)</f>
        <v>김예지</v>
      </c>
      <c r="E3" s="199">
        <f t="array" ref="E3">MAX(IF($S$10:$S$29="여",$T$10:$T$29))</f>
        <v>173</v>
      </c>
    </row>
    <row r="4" spans="2:24">
      <c r="B4" s="550" t="s">
        <v>158</v>
      </c>
      <c r="C4" s="166" t="s">
        <v>156</v>
      </c>
      <c r="D4" s="167" t="str">
        <f>VLOOKUP(E4,$U$10:$V$29,2,0)</f>
        <v>김신철</v>
      </c>
      <c r="E4" s="198">
        <f t="array" ref="E4">MAX(IF($S$10:$S$29="남",$U$10:$U$29))</f>
        <v>196.33333333333334</v>
      </c>
    </row>
    <row r="5" spans="2:24">
      <c r="B5" s="551"/>
      <c r="C5" s="166" t="s">
        <v>157</v>
      </c>
      <c r="D5" s="167" t="str">
        <f>VLOOKUP(E5,$U$10:$V$29,2,0)</f>
        <v>김예지</v>
      </c>
      <c r="E5" s="199">
        <f t="array" ref="E5">MAX(IF($S$10:$S$29="여",$U$10:$U$29))</f>
        <v>140.33333333333334</v>
      </c>
    </row>
    <row r="7" spans="2:24" ht="16.5" customHeight="1">
      <c r="C7" s="543" t="s">
        <v>140</v>
      </c>
      <c r="D7" s="543" t="s">
        <v>3</v>
      </c>
      <c r="E7" s="544" t="s">
        <v>141</v>
      </c>
      <c r="F7" s="545"/>
      <c r="G7" s="545"/>
      <c r="H7" s="545"/>
      <c r="I7" s="545"/>
      <c r="J7" s="545"/>
      <c r="K7" s="545"/>
      <c r="L7" s="174"/>
      <c r="M7" s="174"/>
      <c r="N7" s="569" t="s">
        <v>142</v>
      </c>
      <c r="O7" s="593" t="s">
        <v>184</v>
      </c>
      <c r="P7" s="575" t="s">
        <v>169</v>
      </c>
      <c r="Q7" s="576"/>
      <c r="R7" s="540" t="s">
        <v>143</v>
      </c>
    </row>
    <row r="8" spans="2:24">
      <c r="C8" s="543"/>
      <c r="D8" s="543"/>
      <c r="E8" s="544">
        <v>1</v>
      </c>
      <c r="F8" s="545"/>
      <c r="G8" s="560"/>
      <c r="H8" s="544">
        <v>2</v>
      </c>
      <c r="I8" s="545"/>
      <c r="J8" s="560"/>
      <c r="K8" s="544">
        <v>3</v>
      </c>
      <c r="L8" s="545"/>
      <c r="M8" s="560"/>
      <c r="N8" s="570"/>
      <c r="O8" s="594"/>
      <c r="P8" s="577"/>
      <c r="Q8" s="578"/>
      <c r="R8" s="558"/>
      <c r="X8" s="172"/>
    </row>
    <row r="9" spans="2:24" ht="27">
      <c r="C9" s="543"/>
      <c r="D9" s="543"/>
      <c r="E9" s="175" t="s">
        <v>151</v>
      </c>
      <c r="F9" s="176" t="s">
        <v>152</v>
      </c>
      <c r="G9" s="177" t="s">
        <v>153</v>
      </c>
      <c r="H9" s="175" t="s">
        <v>150</v>
      </c>
      <c r="I9" s="176" t="s">
        <v>152</v>
      </c>
      <c r="J9" s="177" t="s">
        <v>153</v>
      </c>
      <c r="K9" s="175" t="s">
        <v>150</v>
      </c>
      <c r="L9" s="176" t="s">
        <v>152</v>
      </c>
      <c r="M9" s="177" t="s">
        <v>153</v>
      </c>
      <c r="N9" s="571"/>
      <c r="O9" s="595"/>
      <c r="P9" s="178" t="s">
        <v>144</v>
      </c>
      <c r="Q9" s="179" t="s">
        <v>168</v>
      </c>
      <c r="R9" s="559"/>
      <c r="T9" s="172" t="s">
        <v>170</v>
      </c>
      <c r="U9" s="169" t="s">
        <v>171</v>
      </c>
    </row>
    <row r="10" spans="2:24">
      <c r="C10" s="561" t="s">
        <v>145</v>
      </c>
      <c r="D10" s="180" t="s">
        <v>172</v>
      </c>
      <c r="E10" s="181">
        <v>127</v>
      </c>
      <c r="F10" s="563">
        <v>5</v>
      </c>
      <c r="G10" s="566">
        <v>5</v>
      </c>
      <c r="H10" s="181">
        <v>123</v>
      </c>
      <c r="I10" s="590">
        <v>5</v>
      </c>
      <c r="J10" s="566">
        <v>5</v>
      </c>
      <c r="K10" s="181">
        <v>175</v>
      </c>
      <c r="L10" s="563">
        <v>2</v>
      </c>
      <c r="M10" s="566">
        <v>5</v>
      </c>
      <c r="N10" s="200">
        <v>425</v>
      </c>
      <c r="O10" s="201">
        <f>N10/3</f>
        <v>141.66666666666666</v>
      </c>
      <c r="P10" s="579">
        <v>5</v>
      </c>
      <c r="Q10" s="586">
        <v>215</v>
      </c>
      <c r="R10" s="184">
        <v>-9.0333333333333314</v>
      </c>
      <c r="S10" s="172" t="str">
        <f>VLOOKUP(D10,미니게임_DATA!$A:$BW,MATCH("성별",미니게임_DATA!$A$3:$BW$3,0),0)</f>
        <v>남</v>
      </c>
      <c r="T10" s="185">
        <f>MAX(E10,H10,K10)</f>
        <v>175</v>
      </c>
      <c r="U10" s="186">
        <f>N10/3</f>
        <v>141.66666666666666</v>
      </c>
      <c r="V10" s="187" t="str">
        <f>D10</f>
        <v>임무성</v>
      </c>
    </row>
    <row r="11" spans="2:24">
      <c r="C11" s="562"/>
      <c r="D11" s="188" t="s">
        <v>173</v>
      </c>
      <c r="E11" s="182">
        <v>166</v>
      </c>
      <c r="F11" s="564"/>
      <c r="G11" s="567"/>
      <c r="H11" s="182">
        <v>195</v>
      </c>
      <c r="I11" s="591"/>
      <c r="J11" s="567"/>
      <c r="K11" s="182">
        <v>225</v>
      </c>
      <c r="L11" s="564"/>
      <c r="M11" s="567"/>
      <c r="N11" s="202">
        <v>586</v>
      </c>
      <c r="O11" s="203">
        <f t="shared" ref="O11:O28" si="0">N11/3</f>
        <v>195.33333333333334</v>
      </c>
      <c r="P11" s="580"/>
      <c r="Q11" s="587"/>
      <c r="R11" s="190">
        <v>21.333333333333343</v>
      </c>
      <c r="S11" s="172" t="str">
        <f>VLOOKUP(D11,미니게임_DATA!$A:$BW,MATCH("성별",미니게임_DATA!$A$3:$BW$3,0),0)</f>
        <v>남</v>
      </c>
      <c r="T11" s="185">
        <f t="shared" ref="T11:T12" si="1">MAX(E11,H11,K11)</f>
        <v>225</v>
      </c>
      <c r="U11" s="187">
        <f t="shared" ref="U11:U12" si="2">N11/3</f>
        <v>195.33333333333334</v>
      </c>
      <c r="V11" s="187" t="str">
        <f t="shared" ref="V11:V28" si="3">D11</f>
        <v>백동민</v>
      </c>
    </row>
    <row r="12" spans="2:24">
      <c r="C12" s="562"/>
      <c r="D12" s="191" t="s">
        <v>41</v>
      </c>
      <c r="E12" s="182">
        <v>111</v>
      </c>
      <c r="F12" s="564"/>
      <c r="G12" s="567"/>
      <c r="H12" s="182">
        <v>146</v>
      </c>
      <c r="I12" s="591"/>
      <c r="J12" s="567"/>
      <c r="K12" s="182">
        <v>109</v>
      </c>
      <c r="L12" s="564"/>
      <c r="M12" s="567"/>
      <c r="N12" s="202">
        <v>366</v>
      </c>
      <c r="O12" s="203">
        <f t="shared" si="0"/>
        <v>122</v>
      </c>
      <c r="P12" s="580"/>
      <c r="Q12" s="587"/>
      <c r="R12" s="190">
        <v>1.0999999999999943</v>
      </c>
      <c r="S12" s="172" t="str">
        <f>VLOOKUP(D12,미니게임_DATA!$A:$BW,MATCH("성별",미니게임_DATA!$A$3:$BW$3,0),0)</f>
        <v>남</v>
      </c>
      <c r="T12" s="185">
        <f t="shared" si="1"/>
        <v>146</v>
      </c>
      <c r="U12" s="187">
        <f t="shared" si="2"/>
        <v>122</v>
      </c>
      <c r="V12" s="187" t="str">
        <f t="shared" si="3"/>
        <v>조헌우</v>
      </c>
    </row>
    <row r="13" spans="2:24">
      <c r="C13" s="192"/>
      <c r="D13" s="193"/>
      <c r="E13" s="194">
        <v>404</v>
      </c>
      <c r="F13" s="565"/>
      <c r="G13" s="568"/>
      <c r="H13" s="194">
        <v>464</v>
      </c>
      <c r="I13" s="592"/>
      <c r="J13" s="568"/>
      <c r="K13" s="194">
        <v>509</v>
      </c>
      <c r="L13" s="565"/>
      <c r="M13" s="568"/>
      <c r="N13" s="204">
        <v>1377</v>
      </c>
      <c r="O13" s="205"/>
      <c r="P13" s="581"/>
      <c r="Q13" s="588"/>
      <c r="R13" s="196">
        <v>13.400000000000006</v>
      </c>
      <c r="S13" s="172">
        <f>E13+H13</f>
        <v>868</v>
      </c>
      <c r="V13" s="187">
        <f t="shared" si="3"/>
        <v>0</v>
      </c>
    </row>
    <row r="14" spans="2:24">
      <c r="C14" s="561" t="s">
        <v>146</v>
      </c>
      <c r="D14" s="180" t="s">
        <v>174</v>
      </c>
      <c r="E14" s="181">
        <v>162</v>
      </c>
      <c r="F14" s="563">
        <v>1</v>
      </c>
      <c r="G14" s="566">
        <v>1</v>
      </c>
      <c r="H14" s="181">
        <v>162</v>
      </c>
      <c r="I14" s="563">
        <v>2</v>
      </c>
      <c r="J14" s="566">
        <v>1</v>
      </c>
      <c r="K14" s="181">
        <v>188</v>
      </c>
      <c r="L14" s="563">
        <v>1</v>
      </c>
      <c r="M14" s="566">
        <v>1</v>
      </c>
      <c r="N14" s="200">
        <v>512</v>
      </c>
      <c r="O14" s="201">
        <f t="shared" si="0"/>
        <v>170.66666666666666</v>
      </c>
      <c r="P14" s="579">
        <v>1</v>
      </c>
      <c r="Q14" s="582">
        <v>0</v>
      </c>
      <c r="R14" s="184">
        <v>-0.13333333333335418</v>
      </c>
      <c r="S14" s="172" t="str">
        <f>VLOOKUP(D14,미니게임_DATA!$A:$BW,MATCH("성별",미니게임_DATA!$A$3:$BW$3,0),0)</f>
        <v>남</v>
      </c>
      <c r="T14" s="185">
        <f t="shared" ref="T14:T28" si="4">MAX(E14,H14,K14)</f>
        <v>188</v>
      </c>
      <c r="U14" s="187">
        <f t="shared" ref="U14:U28" si="5">N14/3</f>
        <v>170.66666666666666</v>
      </c>
      <c r="V14" s="187" t="str">
        <f t="shared" si="3"/>
        <v>박용승</v>
      </c>
    </row>
    <row r="15" spans="2:24">
      <c r="C15" s="562"/>
      <c r="D15" s="188" t="s">
        <v>175</v>
      </c>
      <c r="E15" s="182">
        <v>179</v>
      </c>
      <c r="F15" s="564"/>
      <c r="G15" s="567"/>
      <c r="H15" s="182">
        <v>157</v>
      </c>
      <c r="I15" s="564"/>
      <c r="J15" s="567"/>
      <c r="K15" s="182">
        <v>155</v>
      </c>
      <c r="L15" s="564"/>
      <c r="M15" s="567"/>
      <c r="N15" s="202">
        <v>491</v>
      </c>
      <c r="O15" s="203">
        <f t="shared" si="0"/>
        <v>163.66666666666666</v>
      </c>
      <c r="P15" s="580"/>
      <c r="Q15" s="583"/>
      <c r="R15" s="190">
        <v>1.1666666666666572</v>
      </c>
      <c r="S15" s="172" t="str">
        <f>VLOOKUP(D15,미니게임_DATA!$A:$BW,MATCH("성별",미니게임_DATA!$A$3:$BW$3,0),0)</f>
        <v>남</v>
      </c>
      <c r="T15" s="185">
        <f t="shared" si="4"/>
        <v>179</v>
      </c>
      <c r="U15" s="187">
        <f t="shared" si="5"/>
        <v>163.66666666666666</v>
      </c>
      <c r="V15" s="187" t="str">
        <f t="shared" si="3"/>
        <v>최은규</v>
      </c>
    </row>
    <row r="16" spans="2:24">
      <c r="C16" s="562"/>
      <c r="D16" s="188" t="s">
        <v>176</v>
      </c>
      <c r="E16" s="182">
        <v>213</v>
      </c>
      <c r="F16" s="564"/>
      <c r="G16" s="567"/>
      <c r="H16" s="182">
        <v>185</v>
      </c>
      <c r="I16" s="564"/>
      <c r="J16" s="567"/>
      <c r="K16" s="182">
        <v>191</v>
      </c>
      <c r="L16" s="564"/>
      <c r="M16" s="567"/>
      <c r="N16" s="202">
        <v>589</v>
      </c>
      <c r="O16" s="203">
        <f t="shared" si="0"/>
        <v>196.33333333333334</v>
      </c>
      <c r="P16" s="580"/>
      <c r="Q16" s="583"/>
      <c r="R16" s="190">
        <v>28.633333333333354</v>
      </c>
      <c r="S16" s="172" t="str">
        <f>VLOOKUP(D16,미니게임_DATA!$A:$BW,MATCH("성별",미니게임_DATA!$A$3:$BW$3,0),0)</f>
        <v>남</v>
      </c>
      <c r="T16" s="185">
        <f t="shared" si="4"/>
        <v>213</v>
      </c>
      <c r="U16" s="187">
        <f t="shared" si="5"/>
        <v>196.33333333333334</v>
      </c>
      <c r="V16" s="187" t="str">
        <f t="shared" si="3"/>
        <v>김신철</v>
      </c>
    </row>
    <row r="17" spans="3:22">
      <c r="C17" s="192"/>
      <c r="D17" s="193"/>
      <c r="E17" s="194">
        <v>554</v>
      </c>
      <c r="F17" s="565"/>
      <c r="G17" s="568"/>
      <c r="H17" s="194">
        <v>504</v>
      </c>
      <c r="I17" s="565"/>
      <c r="J17" s="568"/>
      <c r="K17" s="194">
        <v>534</v>
      </c>
      <c r="L17" s="565"/>
      <c r="M17" s="568"/>
      <c r="N17" s="204">
        <v>1592</v>
      </c>
      <c r="O17" s="205"/>
      <c r="P17" s="581"/>
      <c r="Q17" s="584"/>
      <c r="R17" s="196">
        <v>29.666666666666657</v>
      </c>
      <c r="S17" s="172">
        <f>E17+H17</f>
        <v>1058</v>
      </c>
      <c r="V17" s="187">
        <f t="shared" si="3"/>
        <v>0</v>
      </c>
    </row>
    <row r="18" spans="3:22">
      <c r="C18" s="561" t="s">
        <v>147</v>
      </c>
      <c r="D18" s="180" t="s">
        <v>105</v>
      </c>
      <c r="E18" s="181">
        <v>203</v>
      </c>
      <c r="F18" s="563">
        <v>3</v>
      </c>
      <c r="G18" s="566">
        <v>3</v>
      </c>
      <c r="H18" s="181">
        <v>143</v>
      </c>
      <c r="I18" s="563">
        <v>4</v>
      </c>
      <c r="J18" s="566">
        <v>3</v>
      </c>
      <c r="K18" s="181">
        <v>147</v>
      </c>
      <c r="L18" s="563">
        <v>4</v>
      </c>
      <c r="M18" s="566">
        <v>4</v>
      </c>
      <c r="N18" s="200">
        <v>493</v>
      </c>
      <c r="O18" s="201">
        <f t="shared" si="0"/>
        <v>164.33333333333334</v>
      </c>
      <c r="P18" s="579">
        <v>4</v>
      </c>
      <c r="Q18" s="582">
        <v>203</v>
      </c>
      <c r="R18" s="184">
        <v>-2.8666666666666458</v>
      </c>
      <c r="S18" s="172" t="str">
        <f>VLOOKUP(D18,미니게임_DATA!$A:$BW,MATCH("성별",미니게임_DATA!$A$3:$BW$3,0),0)</f>
        <v>남</v>
      </c>
      <c r="T18" s="185">
        <f t="shared" si="4"/>
        <v>203</v>
      </c>
      <c r="U18" s="187">
        <f t="shared" si="5"/>
        <v>164.33333333333334</v>
      </c>
      <c r="V18" s="187" t="str">
        <f t="shared" si="3"/>
        <v>조문수</v>
      </c>
    </row>
    <row r="19" spans="3:22">
      <c r="C19" s="562"/>
      <c r="D19" s="188" t="s">
        <v>107</v>
      </c>
      <c r="E19" s="182">
        <v>118</v>
      </c>
      <c r="F19" s="564"/>
      <c r="G19" s="567"/>
      <c r="H19" s="182">
        <v>173</v>
      </c>
      <c r="I19" s="564"/>
      <c r="J19" s="567"/>
      <c r="K19" s="182">
        <v>130</v>
      </c>
      <c r="L19" s="564"/>
      <c r="M19" s="567"/>
      <c r="N19" s="202">
        <v>421</v>
      </c>
      <c r="O19" s="203">
        <f t="shared" si="0"/>
        <v>140.33333333333334</v>
      </c>
      <c r="P19" s="580"/>
      <c r="Q19" s="583"/>
      <c r="R19" s="190">
        <v>-15.566666666666663</v>
      </c>
      <c r="S19" s="172" t="str">
        <f>VLOOKUP(D19,미니게임_DATA!$A:$BW,MATCH("성별",미니게임_DATA!$A$3:$BW$3,0),0)</f>
        <v>여</v>
      </c>
      <c r="T19" s="185">
        <f t="shared" si="4"/>
        <v>173</v>
      </c>
      <c r="U19" s="187">
        <f t="shared" si="5"/>
        <v>140.33333333333334</v>
      </c>
      <c r="V19" s="187" t="str">
        <f t="shared" si="3"/>
        <v>김예지</v>
      </c>
    </row>
    <row r="20" spans="3:22">
      <c r="C20" s="562"/>
      <c r="D20" s="188" t="s">
        <v>177</v>
      </c>
      <c r="E20" s="182">
        <v>124</v>
      </c>
      <c r="F20" s="564"/>
      <c r="G20" s="567"/>
      <c r="H20" s="182">
        <v>170</v>
      </c>
      <c r="I20" s="564"/>
      <c r="J20" s="567"/>
      <c r="K20" s="182">
        <v>181</v>
      </c>
      <c r="L20" s="564"/>
      <c r="M20" s="567"/>
      <c r="N20" s="202">
        <v>475</v>
      </c>
      <c r="O20" s="203">
        <f t="shared" si="0"/>
        <v>158.33333333333334</v>
      </c>
      <c r="P20" s="580"/>
      <c r="Q20" s="583"/>
      <c r="R20" s="190">
        <v>7.5333333333333314</v>
      </c>
      <c r="S20" s="172" t="str">
        <f>VLOOKUP(D20,미니게임_DATA!$A:$BW,MATCH("성별",미니게임_DATA!$A$3:$BW$3,0),0)</f>
        <v>남</v>
      </c>
      <c r="T20" s="185">
        <f t="shared" si="4"/>
        <v>181</v>
      </c>
      <c r="U20" s="187">
        <f t="shared" si="5"/>
        <v>158.33333333333334</v>
      </c>
      <c r="V20" s="187" t="str">
        <f t="shared" si="3"/>
        <v>채승엽</v>
      </c>
    </row>
    <row r="21" spans="3:22">
      <c r="C21" s="192"/>
      <c r="D21" s="193"/>
      <c r="E21" s="194">
        <v>445</v>
      </c>
      <c r="F21" s="565"/>
      <c r="G21" s="568"/>
      <c r="H21" s="194">
        <v>486</v>
      </c>
      <c r="I21" s="565"/>
      <c r="J21" s="568"/>
      <c r="K21" s="194">
        <v>458</v>
      </c>
      <c r="L21" s="565"/>
      <c r="M21" s="568"/>
      <c r="N21" s="204">
        <v>1389</v>
      </c>
      <c r="O21" s="205"/>
      <c r="P21" s="581"/>
      <c r="Q21" s="584"/>
      <c r="R21" s="196">
        <v>-10.899999999999977</v>
      </c>
      <c r="S21" s="172">
        <f>E21+H21</f>
        <v>931</v>
      </c>
      <c r="V21" s="187">
        <f t="shared" si="3"/>
        <v>0</v>
      </c>
    </row>
    <row r="22" spans="3:22">
      <c r="C22" s="561" t="s">
        <v>148</v>
      </c>
      <c r="D22" s="180" t="s">
        <v>109</v>
      </c>
      <c r="E22" s="181">
        <v>164</v>
      </c>
      <c r="F22" s="563">
        <v>2</v>
      </c>
      <c r="G22" s="566">
        <v>2</v>
      </c>
      <c r="H22" s="181">
        <v>157</v>
      </c>
      <c r="I22" s="563">
        <v>1</v>
      </c>
      <c r="J22" s="566">
        <v>2</v>
      </c>
      <c r="K22" s="181">
        <v>139</v>
      </c>
      <c r="L22" s="563">
        <v>5</v>
      </c>
      <c r="M22" s="566">
        <v>2</v>
      </c>
      <c r="N22" s="200">
        <v>460</v>
      </c>
      <c r="O22" s="201">
        <f t="shared" si="0"/>
        <v>153.33333333333334</v>
      </c>
      <c r="P22" s="579">
        <v>2</v>
      </c>
      <c r="Q22" s="582">
        <v>148</v>
      </c>
      <c r="R22" s="184">
        <v>-10.766666666666652</v>
      </c>
      <c r="S22" s="172" t="str">
        <f>VLOOKUP(D22,미니게임_DATA!$A:$BW,MATCH("성별",미니게임_DATA!$A$3:$BW$3,0),0)</f>
        <v>남</v>
      </c>
      <c r="T22" s="185">
        <f t="shared" si="4"/>
        <v>164</v>
      </c>
      <c r="U22" s="187">
        <f t="shared" si="5"/>
        <v>153.33333333333334</v>
      </c>
      <c r="V22" s="187" t="str">
        <f t="shared" si="3"/>
        <v>정동현</v>
      </c>
    </row>
    <row r="23" spans="3:22">
      <c r="C23" s="562"/>
      <c r="D23" s="188" t="s">
        <v>178</v>
      </c>
      <c r="E23" s="182">
        <v>116</v>
      </c>
      <c r="F23" s="564"/>
      <c r="G23" s="567"/>
      <c r="H23" s="182">
        <v>157</v>
      </c>
      <c r="I23" s="564"/>
      <c r="J23" s="567"/>
      <c r="K23" s="182">
        <v>144</v>
      </c>
      <c r="L23" s="564"/>
      <c r="M23" s="567"/>
      <c r="N23" s="202">
        <v>417</v>
      </c>
      <c r="O23" s="203">
        <f t="shared" si="0"/>
        <v>139</v>
      </c>
      <c r="P23" s="580"/>
      <c r="Q23" s="583"/>
      <c r="R23" s="190">
        <v>-8.6999999999999886</v>
      </c>
      <c r="S23" s="172" t="str">
        <f>VLOOKUP(D23,미니게임_DATA!$A:$BW,MATCH("성별",미니게임_DATA!$A$3:$BW$3,0),0)</f>
        <v>남</v>
      </c>
      <c r="T23" s="185">
        <f t="shared" si="4"/>
        <v>157</v>
      </c>
      <c r="U23" s="187">
        <f t="shared" si="5"/>
        <v>139</v>
      </c>
      <c r="V23" s="187" t="str">
        <f t="shared" si="3"/>
        <v>이강은</v>
      </c>
    </row>
    <row r="24" spans="3:22">
      <c r="C24" s="562"/>
      <c r="D24" s="188" t="s">
        <v>111</v>
      </c>
      <c r="E24" s="182">
        <v>180</v>
      </c>
      <c r="F24" s="564"/>
      <c r="G24" s="567"/>
      <c r="H24" s="182">
        <v>227</v>
      </c>
      <c r="I24" s="564"/>
      <c r="J24" s="567"/>
      <c r="K24" s="182">
        <v>160</v>
      </c>
      <c r="L24" s="564"/>
      <c r="M24" s="567"/>
      <c r="N24" s="202">
        <v>567</v>
      </c>
      <c r="O24" s="203">
        <f t="shared" si="0"/>
        <v>189</v>
      </c>
      <c r="P24" s="580"/>
      <c r="Q24" s="583"/>
      <c r="R24" s="190">
        <v>26.800000000000011</v>
      </c>
      <c r="S24" s="172" t="str">
        <f>VLOOKUP(D24,미니게임_DATA!$A:$BW,MATCH("성별",미니게임_DATA!$A$3:$BW$3,0),0)</f>
        <v>남</v>
      </c>
      <c r="T24" s="185">
        <f t="shared" si="4"/>
        <v>227</v>
      </c>
      <c r="U24" s="187">
        <f t="shared" si="5"/>
        <v>189</v>
      </c>
      <c r="V24" s="187" t="str">
        <f t="shared" si="3"/>
        <v>한희용</v>
      </c>
    </row>
    <row r="25" spans="3:22">
      <c r="C25" s="192"/>
      <c r="D25" s="193"/>
      <c r="E25" s="194">
        <v>460</v>
      </c>
      <c r="F25" s="565"/>
      <c r="G25" s="568"/>
      <c r="H25" s="194">
        <v>541</v>
      </c>
      <c r="I25" s="565"/>
      <c r="J25" s="568"/>
      <c r="K25" s="194">
        <v>443</v>
      </c>
      <c r="L25" s="565"/>
      <c r="M25" s="568"/>
      <c r="N25" s="204">
        <v>1444</v>
      </c>
      <c r="O25" s="205"/>
      <c r="P25" s="581"/>
      <c r="Q25" s="584"/>
      <c r="R25" s="196">
        <v>7.3333333333333712</v>
      </c>
      <c r="S25" s="172">
        <f>E25+H25</f>
        <v>1001</v>
      </c>
      <c r="V25" s="187">
        <f t="shared" si="3"/>
        <v>0</v>
      </c>
    </row>
    <row r="26" spans="3:22">
      <c r="C26" s="561" t="s">
        <v>149</v>
      </c>
      <c r="D26" s="180" t="s">
        <v>179</v>
      </c>
      <c r="E26" s="181">
        <v>143</v>
      </c>
      <c r="F26" s="563">
        <v>4</v>
      </c>
      <c r="G26" s="566">
        <v>4</v>
      </c>
      <c r="H26" s="181">
        <v>184</v>
      </c>
      <c r="I26" s="563">
        <v>3</v>
      </c>
      <c r="J26" s="566">
        <v>4</v>
      </c>
      <c r="K26" s="181">
        <v>182</v>
      </c>
      <c r="L26" s="563">
        <v>3</v>
      </c>
      <c r="M26" s="566">
        <v>3</v>
      </c>
      <c r="N26" s="200">
        <v>509</v>
      </c>
      <c r="O26" s="201">
        <f t="shared" si="0"/>
        <v>169.66666666666666</v>
      </c>
      <c r="P26" s="579">
        <v>3</v>
      </c>
      <c r="Q26" s="582">
        <v>165</v>
      </c>
      <c r="R26" s="184">
        <v>6.8666666666666458</v>
      </c>
      <c r="S26" s="172" t="str">
        <f>VLOOKUP(D26,미니게임_DATA!$A:$BW,MATCH("성별",미니게임_DATA!$A$3:$BW$3,0),0)</f>
        <v>남</v>
      </c>
      <c r="T26" s="185">
        <f t="shared" si="4"/>
        <v>184</v>
      </c>
      <c r="U26" s="187">
        <f t="shared" si="5"/>
        <v>169.66666666666666</v>
      </c>
      <c r="V26" s="187" t="str">
        <f t="shared" si="3"/>
        <v>전병기</v>
      </c>
    </row>
    <row r="27" spans="3:22">
      <c r="C27" s="562"/>
      <c r="D27" s="188" t="s">
        <v>180</v>
      </c>
      <c r="E27" s="182">
        <v>150</v>
      </c>
      <c r="F27" s="564"/>
      <c r="G27" s="567"/>
      <c r="H27" s="182">
        <v>174</v>
      </c>
      <c r="I27" s="564"/>
      <c r="J27" s="567"/>
      <c r="K27" s="182">
        <v>181</v>
      </c>
      <c r="L27" s="564"/>
      <c r="M27" s="567"/>
      <c r="N27" s="202">
        <v>505</v>
      </c>
      <c r="O27" s="203">
        <f t="shared" si="0"/>
        <v>168.33333333333334</v>
      </c>
      <c r="P27" s="580"/>
      <c r="Q27" s="583"/>
      <c r="R27" s="190">
        <v>9.2333333333333485</v>
      </c>
      <c r="S27" s="172" t="str">
        <f>VLOOKUP(D27,미니게임_DATA!$A:$BW,MATCH("성별",미니게임_DATA!$A$3:$BW$3,0),0)</f>
        <v>남</v>
      </c>
      <c r="T27" s="185">
        <f t="shared" si="4"/>
        <v>181</v>
      </c>
      <c r="U27" s="187">
        <f t="shared" si="5"/>
        <v>168.33333333333334</v>
      </c>
      <c r="V27" s="187" t="str">
        <f t="shared" si="3"/>
        <v>천재복</v>
      </c>
    </row>
    <row r="28" spans="3:22">
      <c r="C28" s="562"/>
      <c r="D28" s="188" t="s">
        <v>106</v>
      </c>
      <c r="E28" s="182">
        <v>128</v>
      </c>
      <c r="F28" s="564"/>
      <c r="G28" s="567"/>
      <c r="H28" s="182">
        <v>145</v>
      </c>
      <c r="I28" s="564"/>
      <c r="J28" s="567"/>
      <c r="K28" s="182">
        <v>140</v>
      </c>
      <c r="L28" s="564"/>
      <c r="M28" s="567"/>
      <c r="N28" s="202">
        <v>413</v>
      </c>
      <c r="O28" s="203">
        <f t="shared" si="0"/>
        <v>137.66666666666666</v>
      </c>
      <c r="P28" s="580"/>
      <c r="Q28" s="583"/>
      <c r="R28" s="190">
        <v>-3.8333333333333428</v>
      </c>
      <c r="S28" s="172" t="str">
        <f>VLOOKUP(D28,미니게임_DATA!$A:$BW,MATCH("성별",미니게임_DATA!$A$3:$BW$3,0),0)</f>
        <v>여</v>
      </c>
      <c r="T28" s="185">
        <f t="shared" si="4"/>
        <v>145</v>
      </c>
      <c r="U28" s="187">
        <f t="shared" si="5"/>
        <v>137.66666666666666</v>
      </c>
      <c r="V28" s="187" t="str">
        <f t="shared" si="3"/>
        <v>조연희</v>
      </c>
    </row>
    <row r="29" spans="3:22">
      <c r="C29" s="192"/>
      <c r="D29" s="193"/>
      <c r="E29" s="194">
        <v>421</v>
      </c>
      <c r="F29" s="565"/>
      <c r="G29" s="568"/>
      <c r="H29" s="194">
        <v>503</v>
      </c>
      <c r="I29" s="565"/>
      <c r="J29" s="568"/>
      <c r="K29" s="194">
        <v>503</v>
      </c>
      <c r="L29" s="565"/>
      <c r="M29" s="568"/>
      <c r="N29" s="204">
        <v>1427</v>
      </c>
      <c r="O29" s="205"/>
      <c r="P29" s="581"/>
      <c r="Q29" s="584"/>
      <c r="R29" s="196">
        <v>12.266666666666652</v>
      </c>
      <c r="S29" s="172">
        <f>E29+H29</f>
        <v>924</v>
      </c>
    </row>
    <row r="30" spans="3:22">
      <c r="E30" s="170"/>
      <c r="H30" s="170"/>
      <c r="K30" s="170"/>
      <c r="R30" s="170"/>
    </row>
    <row r="31" spans="3:22">
      <c r="H31" s="170"/>
      <c r="R31" s="170"/>
    </row>
    <row r="32" spans="3:22">
      <c r="H32" s="170"/>
      <c r="R32" s="170"/>
    </row>
    <row r="33" spans="18:18">
      <c r="R33" s="170"/>
    </row>
    <row r="34" spans="18:18">
      <c r="R34" s="170"/>
    </row>
  </sheetData>
  <mergeCells count="57">
    <mergeCell ref="R7:R9"/>
    <mergeCell ref="E8:G8"/>
    <mergeCell ref="H8:J8"/>
    <mergeCell ref="K8:M8"/>
    <mergeCell ref="O7:O9"/>
    <mergeCell ref="M10:M13"/>
    <mergeCell ref="P10:P13"/>
    <mergeCell ref="Q10:Q13"/>
    <mergeCell ref="B2:B3"/>
    <mergeCell ref="B4:B5"/>
    <mergeCell ref="C10:C12"/>
    <mergeCell ref="F10:F13"/>
    <mergeCell ref="G10:G13"/>
    <mergeCell ref="I10:I13"/>
    <mergeCell ref="J10:J13"/>
    <mergeCell ref="L10:L13"/>
    <mergeCell ref="C7:C9"/>
    <mergeCell ref="D7:D9"/>
    <mergeCell ref="E7:K7"/>
    <mergeCell ref="N7:N9"/>
    <mergeCell ref="P7:Q8"/>
    <mergeCell ref="L14:L17"/>
    <mergeCell ref="M14:M17"/>
    <mergeCell ref="P14:P17"/>
    <mergeCell ref="Q14:Q17"/>
    <mergeCell ref="C18:C20"/>
    <mergeCell ref="F18:F21"/>
    <mergeCell ref="G18:G21"/>
    <mergeCell ref="I18:I21"/>
    <mergeCell ref="J18:J21"/>
    <mergeCell ref="L18:L21"/>
    <mergeCell ref="C14:C16"/>
    <mergeCell ref="F14:F17"/>
    <mergeCell ref="G14:G17"/>
    <mergeCell ref="I14:I17"/>
    <mergeCell ref="J14:J17"/>
    <mergeCell ref="M18:M21"/>
    <mergeCell ref="P18:P21"/>
    <mergeCell ref="Q18:Q21"/>
    <mergeCell ref="C22:C24"/>
    <mergeCell ref="F22:F25"/>
    <mergeCell ref="G22:G25"/>
    <mergeCell ref="I22:I25"/>
    <mergeCell ref="J22:J25"/>
    <mergeCell ref="L22:L25"/>
    <mergeCell ref="M22:M25"/>
    <mergeCell ref="Q26:Q29"/>
    <mergeCell ref="P22:P25"/>
    <mergeCell ref="Q22:Q25"/>
    <mergeCell ref="C26:C28"/>
    <mergeCell ref="F26:F29"/>
    <mergeCell ref="G26:G29"/>
    <mergeCell ref="I26:I29"/>
    <mergeCell ref="J26:J29"/>
    <mergeCell ref="L26:L29"/>
    <mergeCell ref="M26:M29"/>
    <mergeCell ref="P26:P29"/>
  </mergeCells>
  <phoneticPr fontId="2" type="noConversion"/>
  <conditionalFormatting sqref="F1:G1048576">
    <cfRule type="cellIs" dxfId="54" priority="3" operator="equal">
      <formula>1</formula>
    </cfRule>
  </conditionalFormatting>
  <conditionalFormatting sqref="I1:J1048576">
    <cfRule type="cellIs" dxfId="53" priority="2" operator="equal">
      <formula>1</formula>
    </cfRule>
  </conditionalFormatting>
  <conditionalFormatting sqref="L1:M1048576">
    <cfRule type="cellIs" dxfId="52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2:X34"/>
  <sheetViews>
    <sheetView showGridLines="0" zoomScaleNormal="100" workbookViewId="0">
      <selection activeCell="Z14" sqref="Z14"/>
    </sheetView>
  </sheetViews>
  <sheetFormatPr defaultColWidth="9" defaultRowHeight="13.5"/>
  <cols>
    <col min="1" max="5" width="9" style="169"/>
    <col min="6" max="7" width="5.375" style="169" customWidth="1"/>
    <col min="8" max="8" width="9" style="169"/>
    <col min="9" max="10" width="5.375" style="169" customWidth="1"/>
    <col min="11" max="11" width="9" style="169"/>
    <col min="12" max="13" width="5.375" style="169" customWidth="1"/>
    <col min="14" max="14" width="9" style="170"/>
    <col min="15" max="15" width="9.375" style="170" bestFit="1" customWidth="1"/>
    <col min="16" max="18" width="9" style="169"/>
    <col min="19" max="20" width="9" style="172" hidden="1" customWidth="1"/>
    <col min="21" max="22" width="9" style="169" hidden="1" customWidth="1"/>
    <col min="23" max="16384" width="9" style="169"/>
  </cols>
  <sheetData>
    <row r="2" spans="2:24">
      <c r="B2" s="550" t="s">
        <v>154</v>
      </c>
      <c r="C2" s="166" t="s">
        <v>156</v>
      </c>
      <c r="D2" s="167" t="str">
        <f>VLOOKUP(E2,$T$10:$V$29,3,0)</f>
        <v>정동현</v>
      </c>
      <c r="E2" s="198">
        <f t="array" ref="E2">MAX(IF($S$10:$S$29="남",$T$10:$T$29))</f>
        <v>186</v>
      </c>
    </row>
    <row r="3" spans="2:24">
      <c r="B3" s="551"/>
      <c r="C3" s="166" t="s">
        <v>157</v>
      </c>
      <c r="D3" s="167" t="str">
        <f>VLOOKUP(E3,$T$10:$V$29,3,0)</f>
        <v>이한나</v>
      </c>
      <c r="E3" s="199">
        <f t="array" ref="E3">MAX(IF($S$10:$S$29="여",$T$10:$T$29))</f>
        <v>185</v>
      </c>
    </row>
    <row r="4" spans="2:24">
      <c r="B4" s="550" t="s">
        <v>158</v>
      </c>
      <c r="C4" s="166" t="s">
        <v>156</v>
      </c>
      <c r="D4" s="167" t="str">
        <f>VLOOKUP(E4,$U$10:$V$29,2,0)</f>
        <v>조문수</v>
      </c>
      <c r="E4" s="198">
        <f t="array" ref="E4">MAX(IF($S$10:$S$29="남",$U$10:$U$29))</f>
        <v>175</v>
      </c>
    </row>
    <row r="5" spans="2:24">
      <c r="B5" s="551"/>
      <c r="C5" s="166" t="s">
        <v>157</v>
      </c>
      <c r="D5" s="167" t="str">
        <f>VLOOKUP(E5,$U$10:$V$29,2,0)</f>
        <v>이한나</v>
      </c>
      <c r="E5" s="199">
        <f t="array" ref="E5">MAX(IF($S$10:$S$29="여",$U$10:$U$29))</f>
        <v>169.33333333333334</v>
      </c>
    </row>
    <row r="7" spans="2:24" ht="16.5" customHeight="1">
      <c r="C7" s="543" t="s">
        <v>140</v>
      </c>
      <c r="D7" s="543" t="s">
        <v>3</v>
      </c>
      <c r="E7" s="544" t="s">
        <v>141</v>
      </c>
      <c r="F7" s="545"/>
      <c r="G7" s="545"/>
      <c r="H7" s="545"/>
      <c r="I7" s="545"/>
      <c r="J7" s="545"/>
      <c r="K7" s="545"/>
      <c r="L7" s="174"/>
      <c r="M7" s="174"/>
      <c r="N7" s="569" t="s">
        <v>142</v>
      </c>
      <c r="O7" s="593" t="s">
        <v>184</v>
      </c>
      <c r="P7" s="575" t="s">
        <v>169</v>
      </c>
      <c r="Q7" s="576"/>
      <c r="R7" s="540" t="s">
        <v>143</v>
      </c>
    </row>
    <row r="8" spans="2:24">
      <c r="C8" s="543"/>
      <c r="D8" s="543"/>
      <c r="E8" s="544">
        <v>1</v>
      </c>
      <c r="F8" s="545"/>
      <c r="G8" s="560"/>
      <c r="H8" s="544">
        <v>2</v>
      </c>
      <c r="I8" s="545"/>
      <c r="J8" s="560"/>
      <c r="K8" s="544">
        <v>3</v>
      </c>
      <c r="L8" s="545"/>
      <c r="M8" s="560"/>
      <c r="N8" s="570"/>
      <c r="O8" s="594"/>
      <c r="P8" s="577"/>
      <c r="Q8" s="578"/>
      <c r="R8" s="558"/>
      <c r="X8" s="172"/>
    </row>
    <row r="9" spans="2:24" ht="27">
      <c r="C9" s="543"/>
      <c r="D9" s="543"/>
      <c r="E9" s="175" t="s">
        <v>151</v>
      </c>
      <c r="F9" s="176" t="s">
        <v>152</v>
      </c>
      <c r="G9" s="177" t="s">
        <v>153</v>
      </c>
      <c r="H9" s="175" t="s">
        <v>150</v>
      </c>
      <c r="I9" s="176" t="s">
        <v>152</v>
      </c>
      <c r="J9" s="177" t="s">
        <v>153</v>
      </c>
      <c r="K9" s="175" t="s">
        <v>150</v>
      </c>
      <c r="L9" s="176" t="s">
        <v>152</v>
      </c>
      <c r="M9" s="177" t="s">
        <v>153</v>
      </c>
      <c r="N9" s="571"/>
      <c r="O9" s="595"/>
      <c r="P9" s="178" t="s">
        <v>144</v>
      </c>
      <c r="Q9" s="179" t="s">
        <v>168</v>
      </c>
      <c r="R9" s="559"/>
      <c r="T9" s="172" t="s">
        <v>170</v>
      </c>
      <c r="U9" s="169" t="s">
        <v>171</v>
      </c>
    </row>
    <row r="10" spans="2:24">
      <c r="C10" s="561" t="s">
        <v>145</v>
      </c>
      <c r="D10" s="180" t="s">
        <v>111</v>
      </c>
      <c r="E10" s="181">
        <v>159</v>
      </c>
      <c r="F10" s="563">
        <v>1</v>
      </c>
      <c r="G10" s="566">
        <v>1</v>
      </c>
      <c r="H10" s="181">
        <v>130</v>
      </c>
      <c r="I10" s="590">
        <v>4</v>
      </c>
      <c r="J10" s="566">
        <v>2</v>
      </c>
      <c r="K10" s="181">
        <v>164</v>
      </c>
      <c r="L10" s="563">
        <v>1</v>
      </c>
      <c r="M10" s="566">
        <v>1</v>
      </c>
      <c r="N10" s="200">
        <v>453</v>
      </c>
      <c r="O10" s="184">
        <f>N10/3</f>
        <v>151</v>
      </c>
      <c r="P10" s="579">
        <v>1</v>
      </c>
      <c r="Q10" s="586">
        <v>0</v>
      </c>
      <c r="R10" s="184">
        <v>1.0999999999999943</v>
      </c>
      <c r="S10" s="172" t="str">
        <f>VLOOKUP(D10,미니게임_DATA!$A:$BW,MATCH("성별",미니게임_DATA!$A$3:$BW$3,0),0)</f>
        <v>남</v>
      </c>
      <c r="T10" s="185">
        <f>MAX(E10,H10,K10)</f>
        <v>164</v>
      </c>
      <c r="U10" s="186">
        <f>N10/3</f>
        <v>151</v>
      </c>
      <c r="V10" s="187" t="str">
        <f>D10</f>
        <v>한희용</v>
      </c>
    </row>
    <row r="11" spans="2:24">
      <c r="C11" s="562"/>
      <c r="D11" s="188" t="s">
        <v>113</v>
      </c>
      <c r="E11" s="182">
        <v>162</v>
      </c>
      <c r="F11" s="564"/>
      <c r="G11" s="567"/>
      <c r="H11" s="182">
        <v>112</v>
      </c>
      <c r="I11" s="591"/>
      <c r="J11" s="567"/>
      <c r="K11" s="182">
        <v>168</v>
      </c>
      <c r="L11" s="564"/>
      <c r="M11" s="567"/>
      <c r="N11" s="202">
        <v>442</v>
      </c>
      <c r="O11" s="190">
        <f>N11/3</f>
        <v>147.33333333333334</v>
      </c>
      <c r="P11" s="580"/>
      <c r="Q11" s="587"/>
      <c r="R11" s="190">
        <v>-4.5666666666666629</v>
      </c>
      <c r="S11" s="172" t="str">
        <f>VLOOKUP(D11,미니게임_DATA!$A:$BW,MATCH("성별",미니게임_DATA!$A$3:$BW$3,0),0)</f>
        <v>남</v>
      </c>
      <c r="T11" s="185">
        <f t="shared" ref="T11:T13" si="0">MAX(E11,H11,K11)</f>
        <v>168</v>
      </c>
      <c r="U11" s="187">
        <f t="shared" ref="U11:U13" si="1">N11/3</f>
        <v>147.33333333333334</v>
      </c>
      <c r="V11" s="187" t="str">
        <f t="shared" ref="V11:V29" si="2">D11</f>
        <v>임무성</v>
      </c>
    </row>
    <row r="12" spans="2:24">
      <c r="C12" s="562"/>
      <c r="D12" s="188" t="s">
        <v>105</v>
      </c>
      <c r="E12" s="182">
        <v>171</v>
      </c>
      <c r="F12" s="564"/>
      <c r="G12" s="567"/>
      <c r="H12" s="182">
        <v>170</v>
      </c>
      <c r="I12" s="591"/>
      <c r="J12" s="567"/>
      <c r="K12" s="182">
        <v>184</v>
      </c>
      <c r="L12" s="564"/>
      <c r="M12" s="567"/>
      <c r="N12" s="202">
        <v>525</v>
      </c>
      <c r="O12" s="190">
        <f t="shared" ref="O12:O28" si="3">N12/3</f>
        <v>175</v>
      </c>
      <c r="P12" s="580"/>
      <c r="Q12" s="587"/>
      <c r="R12" s="190">
        <v>2.6999999999999886</v>
      </c>
      <c r="S12" s="172" t="str">
        <f>VLOOKUP(D12,미니게임_DATA!$A:$BW,MATCH("성별",미니게임_DATA!$A$3:$BW$3,0),0)</f>
        <v>남</v>
      </c>
      <c r="T12" s="185">
        <f t="shared" ref="T12" si="4">MAX(E12,H12,K12)</f>
        <v>184</v>
      </c>
      <c r="U12" s="187">
        <f t="shared" ref="U12" si="5">N12/3</f>
        <v>175</v>
      </c>
      <c r="V12" s="187" t="str">
        <f t="shared" ref="V12" si="6">D12</f>
        <v>조문수</v>
      </c>
    </row>
    <row r="13" spans="2:24">
      <c r="C13" s="562"/>
      <c r="D13" s="191" t="s">
        <v>177</v>
      </c>
      <c r="E13" s="182">
        <v>116</v>
      </c>
      <c r="F13" s="564"/>
      <c r="G13" s="567"/>
      <c r="H13" s="182">
        <v>157</v>
      </c>
      <c r="I13" s="591"/>
      <c r="J13" s="567"/>
      <c r="K13" s="182">
        <v>171</v>
      </c>
      <c r="L13" s="564"/>
      <c r="M13" s="567"/>
      <c r="N13" s="202">
        <v>444</v>
      </c>
      <c r="O13" s="190">
        <f>N13/3</f>
        <v>148</v>
      </c>
      <c r="P13" s="580"/>
      <c r="Q13" s="587"/>
      <c r="R13" s="190">
        <v>0.69999999999998863</v>
      </c>
      <c r="S13" s="172" t="str">
        <f>VLOOKUP(D13,미니게임_DATA!$A:$BW,MATCH("성별",미니게임_DATA!$A$3:$BW$3,0),0)</f>
        <v>남</v>
      </c>
      <c r="T13" s="185">
        <f t="shared" si="0"/>
        <v>171</v>
      </c>
      <c r="U13" s="187">
        <f t="shared" si="1"/>
        <v>148</v>
      </c>
      <c r="V13" s="187" t="str">
        <f t="shared" si="2"/>
        <v>채승엽</v>
      </c>
    </row>
    <row r="14" spans="2:24">
      <c r="C14" s="192"/>
      <c r="D14" s="193"/>
      <c r="E14" s="194">
        <v>608</v>
      </c>
      <c r="F14" s="565"/>
      <c r="G14" s="568"/>
      <c r="H14" s="194">
        <v>569</v>
      </c>
      <c r="I14" s="592"/>
      <c r="J14" s="568"/>
      <c r="K14" s="194">
        <v>687</v>
      </c>
      <c r="L14" s="565"/>
      <c r="M14" s="568"/>
      <c r="N14" s="204">
        <v>1864</v>
      </c>
      <c r="O14" s="196"/>
      <c r="P14" s="581"/>
      <c r="Q14" s="588"/>
      <c r="R14" s="196">
        <v>-6.6666666666691299E-2</v>
      </c>
      <c r="S14" s="172">
        <f>E14+H14</f>
        <v>1177</v>
      </c>
      <c r="V14" s="187">
        <f t="shared" si="2"/>
        <v>0</v>
      </c>
    </row>
    <row r="15" spans="2:24">
      <c r="C15" s="561" t="s">
        <v>146</v>
      </c>
      <c r="D15" s="180" t="s">
        <v>175</v>
      </c>
      <c r="E15" s="181">
        <v>147</v>
      </c>
      <c r="F15" s="563">
        <v>3</v>
      </c>
      <c r="G15" s="566">
        <v>3</v>
      </c>
      <c r="H15" s="181">
        <v>165</v>
      </c>
      <c r="I15" s="563">
        <v>2</v>
      </c>
      <c r="J15" s="566">
        <v>3</v>
      </c>
      <c r="K15" s="181">
        <v>181</v>
      </c>
      <c r="L15" s="563">
        <v>2</v>
      </c>
      <c r="M15" s="566">
        <v>2</v>
      </c>
      <c r="N15" s="200">
        <v>493</v>
      </c>
      <c r="O15" s="184">
        <f t="shared" ref="O15:O16" si="7">N15/3</f>
        <v>164.33333333333334</v>
      </c>
      <c r="P15" s="579">
        <v>2</v>
      </c>
      <c r="Q15" s="582">
        <v>89</v>
      </c>
      <c r="R15" s="184">
        <v>2.4333333333333371</v>
      </c>
      <c r="S15" s="172" t="str">
        <f>VLOOKUP(D15,미니게임_DATA!$A:$BW,MATCH("성별",미니게임_DATA!$A$3:$BW$3,0),0)</f>
        <v>남</v>
      </c>
      <c r="T15" s="185">
        <f t="shared" ref="T15:T28" si="8">MAX(E15,H15,K15)</f>
        <v>181</v>
      </c>
      <c r="U15" s="187">
        <f t="shared" ref="U15:U28" si="9">N15/3</f>
        <v>164.33333333333334</v>
      </c>
      <c r="V15" s="187" t="str">
        <f t="shared" si="2"/>
        <v>최은규</v>
      </c>
    </row>
    <row r="16" spans="2:24">
      <c r="C16" s="562"/>
      <c r="D16" s="188" t="s">
        <v>174</v>
      </c>
      <c r="E16" s="182">
        <v>177</v>
      </c>
      <c r="F16" s="564"/>
      <c r="G16" s="567"/>
      <c r="H16" s="182">
        <v>161</v>
      </c>
      <c r="I16" s="564"/>
      <c r="J16" s="567"/>
      <c r="K16" s="182">
        <v>182</v>
      </c>
      <c r="L16" s="564"/>
      <c r="M16" s="567"/>
      <c r="N16" s="202">
        <v>520</v>
      </c>
      <c r="O16" s="190">
        <f t="shared" si="7"/>
        <v>173.33333333333334</v>
      </c>
      <c r="P16" s="580"/>
      <c r="Q16" s="583"/>
      <c r="R16" s="190">
        <v>-2.5666666666666629</v>
      </c>
      <c r="S16" s="172" t="str">
        <f>VLOOKUP(D16,미니게임_DATA!$A:$BW,MATCH("성별",미니게임_DATA!$A$3:$BW$3,0),0)</f>
        <v>남</v>
      </c>
      <c r="T16" s="185">
        <f t="shared" si="8"/>
        <v>182</v>
      </c>
      <c r="U16" s="187">
        <f t="shared" si="9"/>
        <v>173.33333333333334</v>
      </c>
      <c r="V16" s="187" t="str">
        <f t="shared" si="2"/>
        <v>박용승</v>
      </c>
    </row>
    <row r="17" spans="3:22">
      <c r="C17" s="562"/>
      <c r="D17" s="188" t="s">
        <v>179</v>
      </c>
      <c r="E17" s="182">
        <v>136</v>
      </c>
      <c r="F17" s="564"/>
      <c r="G17" s="567"/>
      <c r="H17" s="182">
        <v>167</v>
      </c>
      <c r="I17" s="564"/>
      <c r="J17" s="567"/>
      <c r="K17" s="182">
        <v>151</v>
      </c>
      <c r="L17" s="564"/>
      <c r="M17" s="567"/>
      <c r="N17" s="202">
        <v>454</v>
      </c>
      <c r="O17" s="190">
        <f t="shared" si="3"/>
        <v>151.33333333333334</v>
      </c>
      <c r="P17" s="580"/>
      <c r="Q17" s="583"/>
      <c r="R17" s="190">
        <v>-1.9666666666666686</v>
      </c>
      <c r="S17" s="172" t="str">
        <f>VLOOKUP(D17,미니게임_DATA!$A:$BW,MATCH("성별",미니게임_DATA!$A$3:$BW$3,0),0)</f>
        <v>남</v>
      </c>
      <c r="T17" s="185">
        <f t="shared" si="8"/>
        <v>167</v>
      </c>
      <c r="U17" s="187">
        <f t="shared" si="9"/>
        <v>151.33333333333334</v>
      </c>
      <c r="V17" s="187" t="str">
        <f t="shared" ref="V17" si="10">D17</f>
        <v>전병기</v>
      </c>
    </row>
    <row r="18" spans="3:22">
      <c r="C18" s="562"/>
      <c r="D18" s="188" t="s">
        <v>181</v>
      </c>
      <c r="E18" s="182">
        <v>100</v>
      </c>
      <c r="F18" s="564"/>
      <c r="G18" s="567"/>
      <c r="H18" s="182">
        <v>109</v>
      </c>
      <c r="I18" s="564"/>
      <c r="J18" s="567"/>
      <c r="K18" s="182">
        <v>99</v>
      </c>
      <c r="L18" s="564"/>
      <c r="M18" s="567"/>
      <c r="N18" s="202">
        <v>308</v>
      </c>
      <c r="O18" s="190">
        <f t="shared" si="3"/>
        <v>102.66666666666667</v>
      </c>
      <c r="P18" s="580"/>
      <c r="Q18" s="583"/>
      <c r="R18" s="190">
        <v>6.4444444444444429</v>
      </c>
      <c r="S18" s="172" t="str">
        <f>VLOOKUP(D18,미니게임_DATA!$A:$BW,MATCH("성별",미니게임_DATA!$A$3:$BW$3,0),0)</f>
        <v>여</v>
      </c>
      <c r="T18" s="185">
        <f t="shared" si="8"/>
        <v>109</v>
      </c>
      <c r="U18" s="187">
        <f t="shared" si="9"/>
        <v>102.66666666666667</v>
      </c>
      <c r="V18" s="187" t="str">
        <f t="shared" si="2"/>
        <v>김주현</v>
      </c>
    </row>
    <row r="19" spans="3:22">
      <c r="C19" s="192"/>
      <c r="D19" s="193"/>
      <c r="E19" s="194">
        <v>560</v>
      </c>
      <c r="F19" s="565"/>
      <c r="G19" s="568"/>
      <c r="H19" s="194">
        <v>602</v>
      </c>
      <c r="I19" s="565"/>
      <c r="J19" s="568"/>
      <c r="K19" s="194">
        <v>613</v>
      </c>
      <c r="L19" s="565"/>
      <c r="M19" s="568"/>
      <c r="N19" s="204">
        <v>1775</v>
      </c>
      <c r="O19" s="196"/>
      <c r="P19" s="581"/>
      <c r="Q19" s="584"/>
      <c r="R19" s="196">
        <v>4.3444444444444485</v>
      </c>
      <c r="S19" s="172">
        <f>E19+H19</f>
        <v>1162</v>
      </c>
      <c r="V19" s="187">
        <f t="shared" si="2"/>
        <v>0</v>
      </c>
    </row>
    <row r="20" spans="3:22">
      <c r="C20" s="561" t="s">
        <v>147</v>
      </c>
      <c r="D20" s="180" t="s">
        <v>109</v>
      </c>
      <c r="E20" s="181">
        <v>139</v>
      </c>
      <c r="F20" s="563">
        <v>4</v>
      </c>
      <c r="G20" s="566">
        <v>4</v>
      </c>
      <c r="H20" s="181">
        <v>186</v>
      </c>
      <c r="I20" s="563">
        <v>1</v>
      </c>
      <c r="J20" s="566">
        <v>4</v>
      </c>
      <c r="K20" s="181">
        <v>152</v>
      </c>
      <c r="L20" s="563">
        <v>4</v>
      </c>
      <c r="M20" s="566">
        <v>4</v>
      </c>
      <c r="N20" s="200">
        <v>477</v>
      </c>
      <c r="O20" s="184">
        <f t="shared" ref="O20:O21" si="11">N20/3</f>
        <v>159</v>
      </c>
      <c r="P20" s="579">
        <v>4</v>
      </c>
      <c r="Q20" s="582">
        <v>209</v>
      </c>
      <c r="R20" s="184">
        <v>-9.0999999999999943</v>
      </c>
      <c r="S20" s="172" t="str">
        <f>VLOOKUP(D20,미니게임_DATA!$A:$BW,MATCH("성별",미니게임_DATA!$A$3:$BW$3,0),0)</f>
        <v>남</v>
      </c>
      <c r="T20" s="185">
        <f t="shared" si="8"/>
        <v>186</v>
      </c>
      <c r="U20" s="187">
        <f t="shared" si="9"/>
        <v>159</v>
      </c>
      <c r="V20" s="187" t="str">
        <f t="shared" si="2"/>
        <v>정동현</v>
      </c>
    </row>
    <row r="21" spans="3:22">
      <c r="C21" s="562"/>
      <c r="D21" s="188" t="s">
        <v>112</v>
      </c>
      <c r="E21" s="182">
        <v>142</v>
      </c>
      <c r="F21" s="564"/>
      <c r="G21" s="567"/>
      <c r="H21" s="182">
        <v>147</v>
      </c>
      <c r="I21" s="564"/>
      <c r="J21" s="567"/>
      <c r="K21" s="182">
        <v>127</v>
      </c>
      <c r="L21" s="564"/>
      <c r="M21" s="567"/>
      <c r="N21" s="202">
        <v>416</v>
      </c>
      <c r="O21" s="190">
        <f t="shared" si="11"/>
        <v>138.66666666666666</v>
      </c>
      <c r="P21" s="580"/>
      <c r="Q21" s="583"/>
      <c r="R21" s="190">
        <v>-13.633333333333354</v>
      </c>
      <c r="S21" s="172" t="str">
        <f>VLOOKUP(D21,미니게임_DATA!$A:$BW,MATCH("성별",미니게임_DATA!$A$3:$BW$3,0),0)</f>
        <v>여</v>
      </c>
      <c r="T21" s="185">
        <f t="shared" si="8"/>
        <v>147</v>
      </c>
      <c r="U21" s="187">
        <f t="shared" si="9"/>
        <v>138.66666666666666</v>
      </c>
      <c r="V21" s="187" t="str">
        <f t="shared" si="2"/>
        <v>성소라</v>
      </c>
    </row>
    <row r="22" spans="3:22">
      <c r="C22" s="562"/>
      <c r="D22" s="188" t="s">
        <v>182</v>
      </c>
      <c r="E22" s="182">
        <v>164</v>
      </c>
      <c r="F22" s="564"/>
      <c r="G22" s="567"/>
      <c r="H22" s="182">
        <v>147</v>
      </c>
      <c r="I22" s="564"/>
      <c r="J22" s="567"/>
      <c r="K22" s="182">
        <v>154</v>
      </c>
      <c r="L22" s="564"/>
      <c r="M22" s="567"/>
      <c r="N22" s="202">
        <v>465</v>
      </c>
      <c r="O22" s="190">
        <f t="shared" si="3"/>
        <v>155</v>
      </c>
      <c r="P22" s="580"/>
      <c r="Q22" s="583"/>
      <c r="R22" s="190">
        <v>-17.199999999999989</v>
      </c>
      <c r="S22" s="172" t="str">
        <f>VLOOKUP(D22,미니게임_DATA!$A:$BW,MATCH("성별",미니게임_DATA!$A$3:$BW$3,0),0)</f>
        <v>남</v>
      </c>
      <c r="T22" s="185">
        <f t="shared" si="8"/>
        <v>164</v>
      </c>
      <c r="U22" s="187">
        <f t="shared" si="9"/>
        <v>155</v>
      </c>
      <c r="V22" s="187" t="str">
        <f t="shared" ref="V22" si="12">D22</f>
        <v>이수용</v>
      </c>
    </row>
    <row r="23" spans="3:22">
      <c r="C23" s="562"/>
      <c r="D23" s="188" t="s">
        <v>183</v>
      </c>
      <c r="E23" s="182">
        <v>82</v>
      </c>
      <c r="F23" s="564"/>
      <c r="G23" s="567"/>
      <c r="H23" s="182">
        <v>129</v>
      </c>
      <c r="I23" s="564"/>
      <c r="J23" s="567"/>
      <c r="K23" s="182">
        <v>86</v>
      </c>
      <c r="L23" s="564"/>
      <c r="M23" s="567"/>
      <c r="N23" s="202">
        <v>297</v>
      </c>
      <c r="O23" s="190">
        <f t="shared" si="3"/>
        <v>99</v>
      </c>
      <c r="P23" s="580"/>
      <c r="Q23" s="583"/>
      <c r="R23" s="190">
        <v>-2.3333333333333286</v>
      </c>
      <c r="S23" s="172" t="str">
        <f>VLOOKUP(D23,미니게임_DATA!$A:$BW,MATCH("성별",미니게임_DATA!$A$3:$BW$3,0),0)</f>
        <v>남</v>
      </c>
      <c r="T23" s="185">
        <f t="shared" si="8"/>
        <v>129</v>
      </c>
      <c r="U23" s="187">
        <f t="shared" si="9"/>
        <v>99</v>
      </c>
      <c r="V23" s="187" t="str">
        <f t="shared" si="2"/>
        <v>권진현</v>
      </c>
    </row>
    <row r="24" spans="3:22">
      <c r="C24" s="192"/>
      <c r="D24" s="193"/>
      <c r="E24" s="194">
        <v>527</v>
      </c>
      <c r="F24" s="565"/>
      <c r="G24" s="568"/>
      <c r="H24" s="194">
        <v>609</v>
      </c>
      <c r="I24" s="565"/>
      <c r="J24" s="568"/>
      <c r="K24" s="194">
        <v>519</v>
      </c>
      <c r="L24" s="565"/>
      <c r="M24" s="568"/>
      <c r="N24" s="204">
        <v>1655</v>
      </c>
      <c r="O24" s="196"/>
      <c r="P24" s="581"/>
      <c r="Q24" s="584"/>
      <c r="R24" s="196">
        <v>-42.266666666666666</v>
      </c>
      <c r="S24" s="172">
        <f>E24+H24</f>
        <v>1136</v>
      </c>
      <c r="V24" s="187">
        <f t="shared" si="2"/>
        <v>0</v>
      </c>
    </row>
    <row r="25" spans="3:22">
      <c r="C25" s="561" t="s">
        <v>148</v>
      </c>
      <c r="D25" s="180" t="s">
        <v>178</v>
      </c>
      <c r="E25" s="181">
        <v>138</v>
      </c>
      <c r="F25" s="563">
        <v>2</v>
      </c>
      <c r="G25" s="566">
        <v>2</v>
      </c>
      <c r="H25" s="181">
        <v>147</v>
      </c>
      <c r="I25" s="563">
        <v>3</v>
      </c>
      <c r="J25" s="566">
        <v>1</v>
      </c>
      <c r="K25" s="181">
        <v>152</v>
      </c>
      <c r="L25" s="563">
        <v>3</v>
      </c>
      <c r="M25" s="566">
        <v>3</v>
      </c>
      <c r="N25" s="200">
        <v>437</v>
      </c>
      <c r="O25" s="184">
        <f t="shared" ref="O25:O26" si="13">N25/3</f>
        <v>145.66666666666666</v>
      </c>
      <c r="P25" s="579">
        <v>3</v>
      </c>
      <c r="Q25" s="582">
        <v>103</v>
      </c>
      <c r="R25" s="184">
        <v>-7.5333333333333314</v>
      </c>
      <c r="S25" s="172" t="str">
        <f>VLOOKUP(D25,미니게임_DATA!$A:$BW,MATCH("성별",미니게임_DATA!$A$3:$BW$3,0),0)</f>
        <v>남</v>
      </c>
      <c r="T25" s="185">
        <f t="shared" si="8"/>
        <v>152</v>
      </c>
      <c r="U25" s="187">
        <f t="shared" si="9"/>
        <v>145.66666666666666</v>
      </c>
      <c r="V25" s="187" t="str">
        <f t="shared" si="2"/>
        <v>이강은</v>
      </c>
    </row>
    <row r="26" spans="3:22">
      <c r="C26" s="562"/>
      <c r="D26" s="188" t="s">
        <v>176</v>
      </c>
      <c r="E26" s="182">
        <v>165</v>
      </c>
      <c r="F26" s="564"/>
      <c r="G26" s="567"/>
      <c r="H26" s="182">
        <v>143</v>
      </c>
      <c r="I26" s="564"/>
      <c r="J26" s="567"/>
      <c r="K26" s="182">
        <v>148</v>
      </c>
      <c r="L26" s="564"/>
      <c r="M26" s="567"/>
      <c r="N26" s="202">
        <v>456</v>
      </c>
      <c r="O26" s="190">
        <f t="shared" si="13"/>
        <v>152</v>
      </c>
      <c r="P26" s="580"/>
      <c r="Q26" s="583"/>
      <c r="R26" s="190">
        <v>-6.3000000000000114</v>
      </c>
      <c r="S26" s="172" t="str">
        <f>VLOOKUP(D26,미니게임_DATA!$A:$BW,MATCH("성별",미니게임_DATA!$A$3:$BW$3,0),0)</f>
        <v>남</v>
      </c>
      <c r="T26" s="185">
        <f t="shared" si="8"/>
        <v>165</v>
      </c>
      <c r="U26" s="187">
        <f t="shared" si="9"/>
        <v>152</v>
      </c>
      <c r="V26" s="187" t="str">
        <f t="shared" si="2"/>
        <v>김신철</v>
      </c>
    </row>
    <row r="27" spans="3:22">
      <c r="C27" s="562"/>
      <c r="D27" s="188" t="s">
        <v>104</v>
      </c>
      <c r="E27" s="182">
        <v>155</v>
      </c>
      <c r="F27" s="564"/>
      <c r="G27" s="567"/>
      <c r="H27" s="182">
        <v>185</v>
      </c>
      <c r="I27" s="564"/>
      <c r="J27" s="567"/>
      <c r="K27" s="182">
        <v>168</v>
      </c>
      <c r="L27" s="564"/>
      <c r="M27" s="567"/>
      <c r="N27" s="202">
        <v>508</v>
      </c>
      <c r="O27" s="190">
        <f t="shared" si="3"/>
        <v>169.33333333333334</v>
      </c>
      <c r="P27" s="580"/>
      <c r="Q27" s="583"/>
      <c r="R27" s="190">
        <v>9.3333333333333428</v>
      </c>
      <c r="S27" s="172" t="str">
        <f>VLOOKUP(D27,미니게임_DATA!$A:$BW,MATCH("성별",미니게임_DATA!$A$3:$BW$3,0),0)</f>
        <v>여</v>
      </c>
      <c r="T27" s="185">
        <f t="shared" si="8"/>
        <v>185</v>
      </c>
      <c r="U27" s="187">
        <f t="shared" si="9"/>
        <v>169.33333333333334</v>
      </c>
      <c r="V27" s="187" t="str">
        <f t="shared" ref="V27" si="14">D27</f>
        <v>이한나</v>
      </c>
    </row>
    <row r="28" spans="3:22">
      <c r="C28" s="562"/>
      <c r="D28" s="188" t="s">
        <v>110</v>
      </c>
      <c r="E28" s="182">
        <v>144</v>
      </c>
      <c r="F28" s="564"/>
      <c r="G28" s="567"/>
      <c r="H28" s="182">
        <v>108</v>
      </c>
      <c r="I28" s="564"/>
      <c r="J28" s="567"/>
      <c r="K28" s="182">
        <v>108</v>
      </c>
      <c r="L28" s="564"/>
      <c r="M28" s="567"/>
      <c r="N28" s="202">
        <v>360</v>
      </c>
      <c r="O28" s="190">
        <f t="shared" si="3"/>
        <v>120</v>
      </c>
      <c r="P28" s="580"/>
      <c r="Q28" s="583"/>
      <c r="R28" s="190">
        <v>3</v>
      </c>
      <c r="S28" s="172" t="str">
        <f>VLOOKUP(D28,미니게임_DATA!$A:$BW,MATCH("성별",미니게임_DATA!$A$3:$BW$3,0),0)</f>
        <v>남</v>
      </c>
      <c r="T28" s="185">
        <f t="shared" si="8"/>
        <v>144</v>
      </c>
      <c r="U28" s="187">
        <f t="shared" si="9"/>
        <v>120</v>
      </c>
      <c r="V28" s="187" t="str">
        <f t="shared" si="2"/>
        <v>조헌우</v>
      </c>
    </row>
    <row r="29" spans="3:22">
      <c r="C29" s="192"/>
      <c r="D29" s="193"/>
      <c r="E29" s="194">
        <v>602</v>
      </c>
      <c r="F29" s="565"/>
      <c r="G29" s="568"/>
      <c r="H29" s="194">
        <v>583</v>
      </c>
      <c r="I29" s="565"/>
      <c r="J29" s="568"/>
      <c r="K29" s="194">
        <v>576</v>
      </c>
      <c r="L29" s="565"/>
      <c r="M29" s="568"/>
      <c r="N29" s="204">
        <v>1761</v>
      </c>
      <c r="O29" s="196"/>
      <c r="P29" s="581"/>
      <c r="Q29" s="584"/>
      <c r="R29" s="196">
        <v>-1.5</v>
      </c>
      <c r="S29" s="172">
        <f>E29+H29</f>
        <v>1185</v>
      </c>
      <c r="V29" s="187">
        <f t="shared" si="2"/>
        <v>0</v>
      </c>
    </row>
    <row r="30" spans="3:22">
      <c r="E30" s="170"/>
      <c r="H30" s="170"/>
      <c r="K30" s="170"/>
      <c r="O30" s="171"/>
      <c r="R30" s="170"/>
    </row>
    <row r="31" spans="3:22">
      <c r="H31" s="170"/>
      <c r="R31" s="170"/>
    </row>
    <row r="32" spans="3:22">
      <c r="H32" s="170"/>
      <c r="R32" s="170"/>
    </row>
    <row r="33" spans="18:18">
      <c r="R33" s="170"/>
    </row>
    <row r="34" spans="18:18">
      <c r="R34" s="170"/>
    </row>
  </sheetData>
  <mergeCells count="48">
    <mergeCell ref="R7:R9"/>
    <mergeCell ref="E8:G8"/>
    <mergeCell ref="H8:J8"/>
    <mergeCell ref="K8:M8"/>
    <mergeCell ref="O7:O9"/>
    <mergeCell ref="M10:M14"/>
    <mergeCell ref="P10:P14"/>
    <mergeCell ref="Q10:Q14"/>
    <mergeCell ref="B2:B3"/>
    <mergeCell ref="B4:B5"/>
    <mergeCell ref="C10:C13"/>
    <mergeCell ref="F10:F14"/>
    <mergeCell ref="G10:G14"/>
    <mergeCell ref="I10:I14"/>
    <mergeCell ref="J10:J14"/>
    <mergeCell ref="L10:L14"/>
    <mergeCell ref="C7:C9"/>
    <mergeCell ref="D7:D9"/>
    <mergeCell ref="E7:K7"/>
    <mergeCell ref="N7:N9"/>
    <mergeCell ref="P7:Q8"/>
    <mergeCell ref="C15:C18"/>
    <mergeCell ref="F15:F19"/>
    <mergeCell ref="G15:G19"/>
    <mergeCell ref="I15:I19"/>
    <mergeCell ref="J15:J19"/>
    <mergeCell ref="L15:L19"/>
    <mergeCell ref="M15:M19"/>
    <mergeCell ref="P15:P19"/>
    <mergeCell ref="P25:P29"/>
    <mergeCell ref="Q15:Q19"/>
    <mergeCell ref="L20:L24"/>
    <mergeCell ref="Q25:Q29"/>
    <mergeCell ref="M20:M24"/>
    <mergeCell ref="P20:P24"/>
    <mergeCell ref="Q20:Q24"/>
    <mergeCell ref="L25:L29"/>
    <mergeCell ref="M25:M29"/>
    <mergeCell ref="C25:C28"/>
    <mergeCell ref="F25:F29"/>
    <mergeCell ref="G25:G29"/>
    <mergeCell ref="I25:I29"/>
    <mergeCell ref="J25:J29"/>
    <mergeCell ref="C20:C23"/>
    <mergeCell ref="F20:F24"/>
    <mergeCell ref="G20:G24"/>
    <mergeCell ref="I20:I24"/>
    <mergeCell ref="J20:J24"/>
  </mergeCells>
  <phoneticPr fontId="2" type="noConversion"/>
  <conditionalFormatting sqref="F36:G1048576 G32:G35 F1:G31 I1:J1048576 L1:M1048576">
    <cfRule type="cellIs" dxfId="51" priority="3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40</vt:i4>
      </vt:variant>
    </vt:vector>
  </HeadingPairs>
  <TitlesOfParts>
    <vt:vector size="40" baseType="lpstr">
      <vt:lpstr>마일리지</vt:lpstr>
      <vt:lpstr>라커현황</vt:lpstr>
      <vt:lpstr>인원별 음료과자</vt:lpstr>
      <vt:lpstr>전체점수(순)</vt:lpstr>
      <vt:lpstr>전체점수</vt:lpstr>
      <vt:lpstr>미니게임_DATA(순)</vt:lpstr>
      <vt:lpstr>미니게임_DATA</vt:lpstr>
      <vt:lpstr>미니게임_년도별 하이</vt:lpstr>
      <vt:lpstr>2025_08월_미니게임</vt:lpstr>
      <vt:lpstr>2025_07월_라지게임</vt:lpstr>
      <vt:lpstr>2025_07월_미니게임</vt:lpstr>
      <vt:lpstr>2025_06월_라지게임</vt:lpstr>
      <vt:lpstr>2025_06월_미니게임</vt:lpstr>
      <vt:lpstr>미니게임_분석</vt:lpstr>
      <vt:lpstr>2025_05월_라지게임</vt:lpstr>
      <vt:lpstr>2025_05월_미니게임</vt:lpstr>
      <vt:lpstr>2025_04월_라지게임</vt:lpstr>
      <vt:lpstr>2025_04월_미니게임</vt:lpstr>
      <vt:lpstr>2025_03월_라지게임</vt:lpstr>
      <vt:lpstr>2025_03월_미니게임</vt:lpstr>
      <vt:lpstr>2025_02월_라지게임_결과</vt:lpstr>
      <vt:lpstr>2025_02월_미니게임_결과</vt:lpstr>
      <vt:lpstr>2025_01월_라지게임_결과</vt:lpstr>
      <vt:lpstr>2025_01월_미니게임_결과</vt:lpstr>
      <vt:lpstr>2024_12월_라지게임_연말이벤트_결과</vt:lpstr>
      <vt:lpstr>2024_12월_깜짝미니게임_결과</vt:lpstr>
      <vt:lpstr>2024_12월_미니게임_결과</vt:lpstr>
      <vt:lpstr>2024_11월_라지게임_결과</vt:lpstr>
      <vt:lpstr>2024_11월_미니게임_결과</vt:lpstr>
      <vt:lpstr>2024_10월_미니게임_결과</vt:lpstr>
      <vt:lpstr>2024_9월_미니게임_결과</vt:lpstr>
      <vt:lpstr>2024_8월_미니게임_결과</vt:lpstr>
      <vt:lpstr>2024_7월_미니게임_결과</vt:lpstr>
      <vt:lpstr>2024_6월_미니게임_결과</vt:lpstr>
      <vt:lpstr>2024_5월_미니게임_결과</vt:lpstr>
      <vt:lpstr>2024_4월_미니게임_결과</vt:lpstr>
      <vt:lpstr>2024_3월_미니게임_결과</vt:lpstr>
      <vt:lpstr>2024_2월_미니게임_결과</vt:lpstr>
      <vt:lpstr>2024_1월(2)_미니게임_결과</vt:lpstr>
      <vt:lpstr>2024_1월(1)_미니게임_결과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 Seong</dc:creator>
  <cp:lastModifiedBy>MIRACOM</cp:lastModifiedBy>
  <dcterms:created xsi:type="dcterms:W3CDTF">2024-02-21T06:49:09Z</dcterms:created>
  <dcterms:modified xsi:type="dcterms:W3CDTF">2025-08-07T00:10:15Z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