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B55862D2-D326-A349-9C3E-C3E1C12F2AD1}" xr6:coauthVersionLast="47" xr6:coauthVersionMax="47" xr10:uidLastSave="{00000000-0000-0000-0000-000000000000}"/>
  <bookViews>
    <workbookView xWindow="15560" yWindow="2380" windowWidth="19980" windowHeight="18340" xr2:uid="{8AB47025-A3BF-0940-B260-25D870F91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1" l="1"/>
  <c r="P47" i="1" s="1"/>
  <c r="L36" i="1"/>
  <c r="L54" i="1"/>
  <c r="P54" i="1" s="1"/>
  <c r="O50" i="1"/>
  <c r="Q50" i="1" s="1"/>
  <c r="N52" i="1"/>
  <c r="P52" i="1" s="1"/>
  <c r="N49" i="1"/>
  <c r="P49" i="1" s="1"/>
  <c r="L49" i="1"/>
  <c r="O49" i="1" s="1"/>
  <c r="Q49" i="1" s="1"/>
  <c r="O48" i="1"/>
  <c r="Q48" i="1" s="1"/>
  <c r="N48" i="1"/>
  <c r="L48" i="1"/>
  <c r="P48" i="1" s="1"/>
  <c r="L47" i="1"/>
  <c r="O47" i="1" s="1"/>
  <c r="Q47" i="1" s="1"/>
  <c r="N46" i="1"/>
  <c r="O46" i="1" s="1"/>
  <c r="Q46" i="1" s="1"/>
  <c r="M46" i="1"/>
  <c r="P46" i="1" s="1"/>
  <c r="L46" i="1"/>
  <c r="P45" i="1"/>
  <c r="O45" i="1"/>
  <c r="Q45" i="1" s="1"/>
  <c r="N44" i="1"/>
  <c r="O44" i="1" s="1"/>
  <c r="Q44" i="1" s="1"/>
  <c r="L44" i="1"/>
  <c r="M33" i="1"/>
  <c r="L33" i="1"/>
  <c r="N42" i="1"/>
  <c r="M42" i="1"/>
  <c r="P42" i="1" s="1"/>
  <c r="L42" i="1"/>
  <c r="L40" i="1"/>
  <c r="Q40" i="1" s="1"/>
  <c r="L39" i="1"/>
  <c r="O39" i="1" s="1"/>
  <c r="Q39" i="1" s="1"/>
  <c r="L38" i="1"/>
  <c r="P38" i="1" s="1"/>
  <c r="N27" i="1"/>
  <c r="M27" i="1"/>
  <c r="L35" i="1"/>
  <c r="O35" i="1" s="1"/>
  <c r="Q35" i="1" s="1"/>
  <c r="L34" i="1"/>
  <c r="O34" i="1" s="1"/>
  <c r="Q34" i="1" s="1"/>
  <c r="N41" i="1"/>
  <c r="M41" i="1"/>
  <c r="O41" i="1" s="1"/>
  <c r="Q41" i="1" s="1"/>
  <c r="M53" i="1"/>
  <c r="P53" i="1" s="1"/>
  <c r="P11" i="1"/>
  <c r="P12" i="1"/>
  <c r="P14" i="1"/>
  <c r="P15" i="1"/>
  <c r="P17" i="1"/>
  <c r="P18" i="1"/>
  <c r="P19" i="1"/>
  <c r="P20" i="1"/>
  <c r="P21" i="1"/>
  <c r="P22" i="1"/>
  <c r="P23" i="1"/>
  <c r="P24" i="1"/>
  <c r="P25" i="1"/>
  <c r="P26" i="1"/>
  <c r="O11" i="1"/>
  <c r="Q11" i="1" s="1"/>
  <c r="O12" i="1"/>
  <c r="Q12" i="1" s="1"/>
  <c r="O14" i="1"/>
  <c r="Q14" i="1" s="1"/>
  <c r="O15" i="1"/>
  <c r="Q15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N13" i="1"/>
  <c r="M13" i="1"/>
  <c r="P13" i="1" s="1"/>
  <c r="N16" i="1"/>
  <c r="N9" i="1"/>
  <c r="N10" i="1"/>
  <c r="P6" i="1"/>
  <c r="M16" i="1"/>
  <c r="L16" i="1"/>
  <c r="P16" i="1" s="1"/>
  <c r="M10" i="1"/>
  <c r="L10" i="1"/>
  <c r="M9" i="1"/>
  <c r="P9" i="1" s="1"/>
  <c r="L9" i="1"/>
  <c r="L8" i="1"/>
  <c r="P8" i="1" s="1"/>
  <c r="M7" i="1"/>
  <c r="L7" i="1"/>
  <c r="M4" i="1"/>
  <c r="L4" i="1"/>
  <c r="P4" i="1" s="1"/>
  <c r="M3" i="1"/>
  <c r="L3" i="1"/>
  <c r="O52" i="1"/>
  <c r="Q52" i="1" s="1"/>
  <c r="P51" i="1"/>
  <c r="O51" i="1"/>
  <c r="Q51" i="1" s="1"/>
  <c r="P50" i="1"/>
  <c r="P43" i="1"/>
  <c r="O43" i="1"/>
  <c r="Q43" i="1" s="1"/>
  <c r="P41" i="1"/>
  <c r="P37" i="1"/>
  <c r="O37" i="1"/>
  <c r="Q37" i="1" s="1"/>
  <c r="P36" i="1"/>
  <c r="O36" i="1"/>
  <c r="Q36" i="1" s="1"/>
  <c r="P35" i="1"/>
  <c r="P32" i="1"/>
  <c r="O32" i="1"/>
  <c r="Q32" i="1" s="1"/>
  <c r="P31" i="1"/>
  <c r="O31" i="1"/>
  <c r="Q31" i="1" s="1"/>
  <c r="P30" i="1"/>
  <c r="O30" i="1"/>
  <c r="Q30" i="1" s="1"/>
  <c r="P29" i="1"/>
  <c r="O29" i="1"/>
  <c r="Q29" i="1" s="1"/>
  <c r="P28" i="1"/>
  <c r="O28" i="1"/>
  <c r="Q28" i="1" s="1"/>
  <c r="P27" i="1"/>
  <c r="O27" i="1"/>
  <c r="Q27" i="1" s="1"/>
  <c r="O26" i="1"/>
  <c r="Q26" i="1" s="1"/>
  <c r="O25" i="1"/>
  <c r="Q25" i="1" s="1"/>
  <c r="O24" i="1"/>
  <c r="Q24" i="1" s="1"/>
  <c r="O8" i="1"/>
  <c r="Q8" i="1" s="1"/>
  <c r="P7" i="1"/>
  <c r="O7" i="1"/>
  <c r="Q7" i="1" s="1"/>
  <c r="P5" i="1"/>
  <c r="O5" i="1"/>
  <c r="Q5" i="1" s="1"/>
  <c r="N2" i="1"/>
  <c r="M2" i="1"/>
  <c r="L2" i="1"/>
  <c r="O53" i="1" l="1"/>
  <c r="Q53" i="1" s="1"/>
  <c r="O42" i="1"/>
  <c r="Q42" i="1" s="1"/>
  <c r="P44" i="1"/>
  <c r="P34" i="1"/>
  <c r="P40" i="1"/>
  <c r="O54" i="1"/>
  <c r="Q54" i="1" s="1"/>
  <c r="O2" i="1"/>
  <c r="Q2" i="1" s="1"/>
  <c r="P3" i="1"/>
  <c r="P10" i="1"/>
  <c r="O13" i="1"/>
  <c r="Q13" i="1" s="1"/>
  <c r="P39" i="1"/>
  <c r="P2" i="1"/>
  <c r="O16" i="1"/>
  <c r="Q16" i="1" s="1"/>
  <c r="O38" i="1"/>
  <c r="Q38" i="1" s="1"/>
  <c r="O3" i="1"/>
  <c r="Q3" i="1" s="1"/>
  <c r="P33" i="1"/>
  <c r="O4" i="1"/>
  <c r="Q4" i="1" s="1"/>
  <c r="O33" i="1"/>
  <c r="Q33" i="1" s="1"/>
  <c r="O9" i="1"/>
  <c r="Q9" i="1" s="1"/>
  <c r="O6" i="1"/>
  <c r="Q6" i="1" s="1"/>
  <c r="O10" i="1"/>
  <c r="Q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Finance-INA</author>
  </authors>
  <commentList>
    <comment ref="K1" authorId="0" shapeId="0" xr:uid="{30895D94-3AB1-440E-8A63-F67131120996}">
      <text/>
    </comment>
  </commentList>
</comments>
</file>

<file path=xl/sharedStrings.xml><?xml version="1.0" encoding="utf-8"?>
<sst xmlns="http://schemas.openxmlformats.org/spreadsheetml/2006/main" count="200" uniqueCount="120">
  <si>
    <t>No.</t>
  </si>
  <si>
    <t>KONTRAK</t>
  </si>
  <si>
    <t>Start Date</t>
  </si>
  <si>
    <t>End Date</t>
  </si>
  <si>
    <t>PLANED DAYS</t>
  </si>
  <si>
    <t>TIME GONE (Days)</t>
  </si>
  <si>
    <t>TIME GONE %</t>
  </si>
  <si>
    <t>STATUS</t>
  </si>
  <si>
    <t>Ket.</t>
  </si>
  <si>
    <t>PROGRESS FINANCE</t>
  </si>
  <si>
    <t>PROGRESS ACTUAL</t>
  </si>
  <si>
    <t>Nilai Kontrak 2023-2024</t>
  </si>
  <si>
    <t xml:space="preserve">Non Realisasi </t>
  </si>
  <si>
    <t>% Realisasi</t>
  </si>
  <si>
    <t>% Non Realisasi</t>
  </si>
  <si>
    <t>002/SPK/VI/2023 - KONTRAK JASA PAJAK</t>
  </si>
  <si>
    <t>NON ACTIVE</t>
  </si>
  <si>
    <t>INCA &amp; FIRMA RAJAWALI</t>
  </si>
  <si>
    <t>003/MKU-03/BAPP/INA/08/23 - BAPP MKU</t>
  </si>
  <si>
    <t>INCA &amp; MIPCON</t>
  </si>
  <si>
    <t>002/INA02/2023L-C - Perjanjian Kerja (Kontrak) PT. INA _ PT ASR I</t>
  </si>
  <si>
    <t>INCA &amp; PT. ASR I</t>
  </si>
  <si>
    <t>002/INA02/2023L-C - Perjanjian Kerja (Kontrak) PT. INA _ PT ASR II</t>
  </si>
  <si>
    <t>INCA &amp; PT. ASR II</t>
  </si>
  <si>
    <t>001/MKU-03/BAST/INA/08/23 - BAST MKU</t>
  </si>
  <si>
    <t>003/INA02/2023L-C - JASA PENYUSUNAN UKL UPL</t>
  </si>
  <si>
    <t>INCA &amp; PT. ENVITEK</t>
  </si>
  <si>
    <t>Sewa rumah sumbawa</t>
  </si>
  <si>
    <t>ACTIVE</t>
  </si>
  <si>
    <t>INCA &amp; ADY TULUS (RUMAH SUMBAWA)</t>
  </si>
  <si>
    <t>004/INA02/2023L-C = INCA &amp; ABB</t>
  </si>
  <si>
    <t>INCA ABB</t>
  </si>
  <si>
    <t>028/INA02/II/2025/L-C = ADENDUM INCA &amp; KSO PDS (1B)</t>
  </si>
  <si>
    <t>ACTIVE ADENDUM</t>
  </si>
  <si>
    <t>INCA &amp; KSO PDS (1B)</t>
  </si>
  <si>
    <t>005/INA02/2023L-C = INCA &amp; ATK</t>
  </si>
  <si>
    <t>INCA &amp; ATK</t>
  </si>
  <si>
    <t>006/INA06/X/2023-S = INCA &amp; ATK</t>
  </si>
  <si>
    <t xml:space="preserve">006/INA02/2024L-C Perjanjian Kerja (Kontrak) Jasa Pengurusan PBG dan SLF </t>
  </si>
  <si>
    <t>INCA &amp; GEI</t>
  </si>
  <si>
    <t>025/INA02/I/2025-L-C Pengurusan PBG dan SLF</t>
  </si>
  <si>
    <t>026/INA02/I/2025-L-C Pengurusan ABT dan Izin Operasional</t>
  </si>
  <si>
    <t>007/INA07/I/2024-S = Jasa Pendampingan &amp; Pengawasan Pembangunan ATK</t>
  </si>
  <si>
    <t xml:space="preserve">INCA &amp; ATK  = ADENDUM </t>
  </si>
  <si>
    <t>008/INA02/VI/2024L-C Perjanjian Kerja INA dengan AVK</t>
  </si>
  <si>
    <t>INCA &amp; AVK</t>
  </si>
  <si>
    <t>007/INA02/VI/2024L-C = INCA &amp; TBA</t>
  </si>
  <si>
    <t>INCA &amp; TBA</t>
  </si>
  <si>
    <t>Surat Perjanjian Kerja 536/LMATS-SPK/VI/2024</t>
  </si>
  <si>
    <t>INCA &amp; LMATS</t>
  </si>
  <si>
    <t>009/INA02/VIII/2024L-C = INCA &amp; PDM 1A</t>
  </si>
  <si>
    <t>INCA &amp; PDM 1 A</t>
  </si>
  <si>
    <t>001/03/LGL/IMI/VII/23 - Perjanjian Sewa Ruko Drupadi</t>
  </si>
  <si>
    <t>INCA &amp; IMI (RUKO DRUPADI)</t>
  </si>
  <si>
    <t>010/INA02/IX/2024L-C PKS PDM 1B</t>
  </si>
  <si>
    <t>INCA &amp; PDM 1 B</t>
  </si>
  <si>
    <t>012/INA02/X/2024L-C Perjanjian Kerja Swadaya Warga dengan PT EBS</t>
  </si>
  <si>
    <t xml:space="preserve">INCA &amp; EBS </t>
  </si>
  <si>
    <t>018/INA02/XI/2024 L-C Addendum Pekerjaan Swadaya Warga</t>
  </si>
  <si>
    <t>INCA &amp; EBS = ADENDUM</t>
  </si>
  <si>
    <t>017/INA02/X/2024 L-C Addendum Pekerjaan Tambak Udang Tahap 1B (PDM)</t>
  </si>
  <si>
    <t>INCA &amp; PDM = ADENDUM 1B</t>
  </si>
  <si>
    <t>013/INA02/X/2024L-C - Perjanjian Sewa Menyewa rumah Lunyuk</t>
  </si>
  <si>
    <t>INCA &amp; ESTER (RUMAH LUNYUK)</t>
  </si>
  <si>
    <t xml:space="preserve">015/INA02/X/2024L-C -SPK AUDIT Laporan Keuangan </t>
  </si>
  <si>
    <t>INCA &amp; KAP (AUDIT)</t>
  </si>
  <si>
    <t>016/INA02/XI/2024L-C Jasa Pendampingan Kegiatan Program Perusahaan dan Sosial Mapping</t>
  </si>
  <si>
    <t>INCA &amp; LDS</t>
  </si>
  <si>
    <t>B/497/XI/2024 - Perjanjian Kerjasama INA &amp; LANAL</t>
  </si>
  <si>
    <t>INCA &amp; LANAL</t>
  </si>
  <si>
    <t>019/INA02/XII/2024 L-C Jasa Pengurusan ABT dan Izin Operasional</t>
  </si>
  <si>
    <t>020/INA02/XII/2024 L-C IZIN LUAT</t>
  </si>
  <si>
    <t>021/INA02/XII/2024-L-C Perjanjian Penambahan Daya Listrik 97.000 Va</t>
  </si>
  <si>
    <t>INCA &amp; ADT</t>
  </si>
  <si>
    <t>029/INA02/II/2025-L-C Addendum Perjanjian Kerja (Ko_250311_200241 (1)</t>
  </si>
  <si>
    <t>022/INA02/XII/2024-L-C Perjanjian Sewa Menyewa Mobil</t>
  </si>
  <si>
    <t>INCA &amp; CV ALFI RENT CAR</t>
  </si>
  <si>
    <t>023/INA02/I/2025 L-C Jasa Pengadaan Konsumsi</t>
  </si>
  <si>
    <t>024/INA02/I/2025-L-C Perjanjian Kerja (Kontrak) Jasa Aktuaria Arya Bagiastra</t>
  </si>
  <si>
    <t>INCA &amp; AKTUARIA</t>
  </si>
  <si>
    <t>027/INA01/II/2025/L-C = ADENDUM INCA &amp; KSO PDS (1A)</t>
  </si>
  <si>
    <t>INCA &amp; KSO PDS (1A)</t>
  </si>
  <si>
    <t>030/INA02/IV/2025/L-C Perjanjian Kerja (Kontrak) Pekerjaan Proyek Pembangunan Tambak Udang Sumbawa (Fasilitas Pendukung Tahap 1B)</t>
  </si>
  <si>
    <t>031/INA02/V/2025/L-C Perjanjian Kerja (Kontrak) Pekerjaan Renovasi Kantor di Teuku Umar</t>
  </si>
  <si>
    <t>032/INA02/V/2025/L-C Perjanjian Kerja (Kontrak) Pekerjaan Pengadaan Barang dan Jasa Serta Layanan Pendukung Operasional Kantor</t>
  </si>
  <si>
    <t>033/INA02/V/2025/L-C Addendum I Perjanjian Kerja (Kontrak) Instalasi dan Pengadaan Generator Set</t>
  </si>
  <si>
    <t>034/INA02/V/2025/L-C Addendum I Perjanjian Kerja (Kontrak) Instalasi dan Pengadaan Pompa Air</t>
  </si>
  <si>
    <t>036/INA02/V/2025/L-C Perjanjian Kerja (Kontrak) Jasa Pengurusan UKL/UPL Laut dan Pemanfaatan Air Laut Selain Energi</t>
  </si>
  <si>
    <t>037/INA02/VI/2025/L-C Perjanjian Kerja (Kontrak) Pengadaan dan Instalasi PJU</t>
  </si>
  <si>
    <t xml:space="preserve">039/INA02/VI/2025/L-C Perjanjian Kerja (Kontrak) Pembangunan Pos Lanal </t>
  </si>
  <si>
    <t>038/INA02/VI/2025/L-C Addendum II Perjanjian Kerja (Kontrak) Pembangunan Tambak Udang Sumbawa Fasilitas Penunjang Swadaya Warga</t>
  </si>
  <si>
    <t>035/INA02/V/2025/L-C Addendum I Perjanjian Sewa Menyewa Rumah Lunyuk</t>
  </si>
  <si>
    <t>040/INA02/VI/2025/L-C Perjanjian Kerja (Kontrak) Pengadaan dan Instalisasi Cubicle dan Penyambungan Daya 1.110 kVA</t>
  </si>
  <si>
    <t>041/INA02/VII/2025/L-C Perjanjian Kerja (Kontrak) Pekerjaan Saluran Drainase Jalan Akses Tambak Udang Sumbawa</t>
  </si>
  <si>
    <t>INCA &amp; REALIS</t>
  </si>
  <si>
    <t>INCA &amp; SAPODIA</t>
  </si>
  <si>
    <t>ACCTIVE ADDENDUM</t>
  </si>
  <si>
    <t xml:space="preserve">ACCTIVE </t>
  </si>
  <si>
    <t>INCA &amp; EIJ</t>
  </si>
  <si>
    <t>ACCTIVE</t>
  </si>
  <si>
    <t>INCA &amp; EBS</t>
  </si>
  <si>
    <t>042/INA02/VII/2025/L-C Addendum II Perjanjian Kerja (Kontrak) Pengadaan Barang dan Jasa Layanan Pendukung Operasional Kantor</t>
  </si>
  <si>
    <t>043/INA02/VII/2025/L-C Peker Jaan Layanan Pendukung Monitoring UKL/UPL dan PKKPRL</t>
  </si>
  <si>
    <t>044/INA02/VII/2025/L-C Addendum I Perjanjian Kerja (Kontrak) Pengadaan dan Instalasi Penerangan Jalan Umum</t>
  </si>
  <si>
    <t>045/INA02/VII/2025/L-C Addendum II Perjanjian Kerja (Kontrak) Pendampingan Tender dan Pengawasan Kontruksi Tambak Udang Sumbawa</t>
  </si>
  <si>
    <t>046/INA02/VII/2025/L-C Perjanjian Kerja (Kontrak) Pekerjaan Pagar Panel Blok 8</t>
  </si>
  <si>
    <t>INCA &amp; MAA</t>
  </si>
  <si>
    <t>047/INA02/VIII/2025/L-C Perjanjian Kerja (Kontrak) Pekerjaan Pembangunan Tambak Udang Sumbawa Bangunan Fasilitas Penunjang Family House dan Dormitory Male</t>
  </si>
  <si>
    <t>048/INA02/VIII/2025.L-C Addendum II Instalasi dan Pengadaan Pompa</t>
  </si>
  <si>
    <t>049/INA02/VIII/2025/L-C Addendum III Pekerjaan Swadaya 5 Bangunan</t>
  </si>
  <si>
    <t>050/INA02/VIII/2025/L-C Perjanjian Kerja (Kontrak) Pekerjaan Offshore</t>
  </si>
  <si>
    <t>051/INA02/VIII/2025/L-C Pengadaan dan Pemasangan Trafo</t>
  </si>
  <si>
    <t>052/INA02/IX/2025/L-C Pekerjaan Pagar Panel Area 1B</t>
  </si>
  <si>
    <t>053/INA02/IX/2025/l-C Pengadaana dan Pemasangan LVMDP, MVMDP Dan DC Control Panel</t>
  </si>
  <si>
    <t>056/INA02/IX/2025/L-C Addendum II Perjanjian Kerja (Kontrak) Pembangunan Tambak Udang Sumbawa Fasilitas Utama Tahap 1A</t>
  </si>
  <si>
    <t>INCA &amp; TRADECORP</t>
  </si>
  <si>
    <t>INCA &amp; PIR</t>
  </si>
  <si>
    <t>INCA &amp; KSO PDS</t>
  </si>
  <si>
    <t>Realisasi_On_ 2023-2024</t>
  </si>
  <si>
    <t>Realisasi_On 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</si>
</sst>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Display"/>
      <family val="2"/>
      <scheme val="major"/>
    </font>
    <font>
      <sz val="12"/>
      <color theme="1"/>
      <name val="Aptos Narrow"/>
      <family val="2"/>
      <scheme val="minor"/>
    </font>
    <font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/>
    <xf numFmtId="3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3" borderId="1" xfId="0" applyFill="1" applyBorder="1"/>
    <xf numFmtId="0" fontId="2" fillId="3" borderId="1" xfId="0" applyFont="1" applyFill="1" applyBorder="1"/>
    <xf numFmtId="14" fontId="0" fillId="3" borderId="1" xfId="0" applyNumberFormat="1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3" fontId="0" fillId="2" borderId="1" xfId="0" applyNumberFormat="1" applyFill="1" applyBorder="1"/>
    <xf numFmtId="164" fontId="0" fillId="2" borderId="1" xfId="0" applyNumberFormat="1" applyFill="1" applyBorder="1"/>
    <xf numFmtId="0" fontId="4" fillId="2" borderId="1" xfId="0" applyFont="1" applyFill="1" applyBorder="1"/>
    <xf numFmtId="165" fontId="0" fillId="2" borderId="1" xfId="1" applyNumberFormat="1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4" borderId="1" xfId="0" applyFont="1" applyFill="1" applyBorder="1"/>
    <xf numFmtId="1" fontId="0" fillId="4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  <xf numFmtId="14" fontId="0" fillId="5" borderId="1" xfId="0" applyNumberFormat="1" applyFill="1" applyBorder="1"/>
    <xf numFmtId="3" fontId="0" fillId="5" borderId="1" xfId="0" applyNumberFormat="1" applyFill="1" applyBorder="1"/>
    <xf numFmtId="1" fontId="0" fillId="5" borderId="1" xfId="0" applyNumberFormat="1" applyFill="1" applyBorder="1"/>
    <xf numFmtId="164" fontId="0" fillId="5" borderId="1" xfId="0" applyNumberFormat="1" applyFill="1" applyBorder="1"/>
    <xf numFmtId="0" fontId="2" fillId="5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5CBC-8EAD-2144-9BDB-7951ABAA9BFA}">
  <dimension ref="A1:R64"/>
  <sheetViews>
    <sheetView tabSelected="1" topLeftCell="H1" zoomScaleNormal="55" workbookViewId="0">
      <selection activeCell="L15" sqref="L15"/>
    </sheetView>
  </sheetViews>
  <sheetFormatPr baseColWidth="10" defaultColWidth="10.6640625" defaultRowHeight="16" x14ac:dyDescent="0.2"/>
  <cols>
    <col min="1" max="1" width="4.1640625" customWidth="1"/>
    <col min="2" max="2" width="78.83203125" customWidth="1"/>
    <col min="3" max="3" width="15.1640625" style="1" customWidth="1"/>
    <col min="4" max="4" width="16.1640625" style="1" customWidth="1"/>
    <col min="5" max="5" width="17.83203125" customWidth="1"/>
    <col min="6" max="6" width="27.1640625" customWidth="1"/>
    <col min="7" max="7" width="21.1640625" customWidth="1"/>
    <col min="9" max="9" width="19.6640625" customWidth="1"/>
    <col min="10" max="10" width="26.33203125" customWidth="1"/>
    <col min="11" max="11" width="23.1640625" customWidth="1"/>
    <col min="12" max="12" width="15.6640625" customWidth="1"/>
    <col min="13" max="13" width="29.83203125" customWidth="1"/>
    <col min="14" max="14" width="34.6640625" style="28" customWidth="1"/>
    <col min="16" max="16" width="14.83203125" customWidth="1"/>
    <col min="17" max="17" width="14.6640625" bestFit="1" customWidth="1"/>
    <col min="18" max="18" width="13.33203125" bestFit="1" customWidth="1"/>
  </cols>
  <sheetData>
    <row r="1" spans="1:17" s="3" customFormat="1" x14ac:dyDescent="0.2">
      <c r="A1" s="22" t="s">
        <v>0</v>
      </c>
      <c r="B1" s="22" t="s">
        <v>1</v>
      </c>
      <c r="C1" s="23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118</v>
      </c>
      <c r="N1" s="24" t="s">
        <v>119</v>
      </c>
      <c r="O1" s="22" t="s">
        <v>12</v>
      </c>
      <c r="P1" s="22" t="s">
        <v>13</v>
      </c>
      <c r="Q1" s="22" t="s">
        <v>14</v>
      </c>
    </row>
    <row r="2" spans="1:17" s="3" customFormat="1" x14ac:dyDescent="0.2">
      <c r="A2" s="3">
        <v>35</v>
      </c>
      <c r="B2" s="3" t="s">
        <v>15</v>
      </c>
      <c r="C2" s="5">
        <v>45103</v>
      </c>
      <c r="D2" s="5">
        <v>45348</v>
      </c>
      <c r="E2" s="3">
        <v>245</v>
      </c>
      <c r="F2" s="3">
        <v>656</v>
      </c>
      <c r="G2" s="3">
        <v>0</v>
      </c>
      <c r="H2" s="3" t="s">
        <v>16</v>
      </c>
      <c r="I2" s="3" t="s">
        <v>17</v>
      </c>
      <c r="L2" s="6">
        <f>66600000/1000000</f>
        <v>66.599999999999994</v>
      </c>
      <c r="M2" s="7">
        <f>13875000/1000000</f>
        <v>13.875</v>
      </c>
      <c r="N2" s="25">
        <f>19425000/1000000</f>
        <v>19.425000000000001</v>
      </c>
      <c r="O2" s="7">
        <f>L2-M2-N2</f>
        <v>33.299999999999997</v>
      </c>
      <c r="P2" s="8">
        <f>(M2+N2)/L2</f>
        <v>0.5</v>
      </c>
      <c r="Q2" s="8">
        <f>O2/L2</f>
        <v>0.5</v>
      </c>
    </row>
    <row r="3" spans="1:17" s="3" customFormat="1" x14ac:dyDescent="0.2">
      <c r="A3" s="3">
        <v>36</v>
      </c>
      <c r="B3" s="3" t="s">
        <v>18</v>
      </c>
      <c r="C3" s="5">
        <v>45124</v>
      </c>
      <c r="D3" s="5">
        <v>45135</v>
      </c>
      <c r="E3" s="3">
        <v>11</v>
      </c>
      <c r="F3" s="3">
        <v>635</v>
      </c>
      <c r="G3" s="3">
        <v>0</v>
      </c>
      <c r="H3" s="3" t="s">
        <v>16</v>
      </c>
      <c r="I3" s="3" t="s">
        <v>19</v>
      </c>
      <c r="L3" s="6">
        <f>658096800/1000000</f>
        <v>658.09680000000003</v>
      </c>
      <c r="M3" s="6">
        <f>658096800/1000000</f>
        <v>658.09680000000003</v>
      </c>
      <c r="N3" s="26">
        <v>0</v>
      </c>
      <c r="O3" s="7">
        <f t="shared" ref="O3:O54" si="0">L3-M3-N3</f>
        <v>0</v>
      </c>
      <c r="P3" s="8">
        <f t="shared" ref="P3:P54" si="1">(M3+N3)/L3</f>
        <v>1</v>
      </c>
      <c r="Q3" s="8">
        <f t="shared" ref="Q3:Q54" si="2">O3/L3</f>
        <v>0</v>
      </c>
    </row>
    <row r="4" spans="1:17" s="3" customFormat="1" x14ac:dyDescent="0.2">
      <c r="A4" s="3">
        <v>1</v>
      </c>
      <c r="B4" s="3" t="s">
        <v>20</v>
      </c>
      <c r="C4" s="5">
        <v>45145</v>
      </c>
      <c r="D4" s="5">
        <v>45381</v>
      </c>
      <c r="E4" s="3">
        <v>236</v>
      </c>
      <c r="F4" s="3">
        <v>614</v>
      </c>
      <c r="G4" s="3">
        <v>0</v>
      </c>
      <c r="H4" s="3" t="s">
        <v>16</v>
      </c>
      <c r="I4" s="3" t="s">
        <v>21</v>
      </c>
      <c r="L4" s="6">
        <f>3006046500/1000000</f>
        <v>3006.0464999999999</v>
      </c>
      <c r="M4" s="6">
        <f>3006046500/1000000</f>
        <v>3006.0464999999999</v>
      </c>
      <c r="N4" s="26">
        <v>0</v>
      </c>
      <c r="O4" s="7">
        <f t="shared" si="0"/>
        <v>0</v>
      </c>
      <c r="P4" s="8">
        <f t="shared" si="1"/>
        <v>1</v>
      </c>
      <c r="Q4" s="8">
        <f t="shared" si="2"/>
        <v>0</v>
      </c>
    </row>
    <row r="5" spans="1:17" s="3" customFormat="1" x14ac:dyDescent="0.2">
      <c r="A5" s="3">
        <v>2</v>
      </c>
      <c r="B5" s="3" t="s">
        <v>22</v>
      </c>
      <c r="C5" s="5">
        <v>45145</v>
      </c>
      <c r="D5" s="5">
        <v>45381</v>
      </c>
      <c r="E5" s="3">
        <v>236</v>
      </c>
      <c r="F5" s="3">
        <v>614</v>
      </c>
      <c r="G5" s="3">
        <v>0</v>
      </c>
      <c r="H5" s="3" t="s">
        <v>16</v>
      </c>
      <c r="I5" s="3" t="s">
        <v>23</v>
      </c>
      <c r="N5" s="26">
        <v>0</v>
      </c>
      <c r="O5" s="7">
        <f t="shared" si="0"/>
        <v>0</v>
      </c>
      <c r="P5" s="8" t="e">
        <f t="shared" si="1"/>
        <v>#DIV/0!</v>
      </c>
      <c r="Q5" s="8" t="e">
        <f t="shared" si="2"/>
        <v>#DIV/0!</v>
      </c>
    </row>
    <row r="6" spans="1:17" s="3" customFormat="1" x14ac:dyDescent="0.2">
      <c r="A6" s="3">
        <v>34</v>
      </c>
      <c r="B6" s="3" t="s">
        <v>24</v>
      </c>
      <c r="C6" s="5">
        <v>45148</v>
      </c>
      <c r="D6" s="5">
        <v>45148</v>
      </c>
      <c r="E6" s="3">
        <v>0</v>
      </c>
      <c r="F6" s="3">
        <v>611</v>
      </c>
      <c r="G6" s="3">
        <v>0</v>
      </c>
      <c r="H6" s="3" t="s">
        <v>16</v>
      </c>
      <c r="I6" s="3" t="s">
        <v>19</v>
      </c>
      <c r="N6" s="26">
        <v>0</v>
      </c>
      <c r="O6" s="7">
        <f t="shared" si="0"/>
        <v>0</v>
      </c>
      <c r="P6" s="8" t="e">
        <f t="shared" si="1"/>
        <v>#DIV/0!</v>
      </c>
      <c r="Q6" s="8" t="e">
        <f t="shared" si="2"/>
        <v>#DIV/0!</v>
      </c>
    </row>
    <row r="7" spans="1:17" s="3" customFormat="1" x14ac:dyDescent="0.2">
      <c r="A7" s="3">
        <v>3</v>
      </c>
      <c r="B7" s="3" t="s">
        <v>25</v>
      </c>
      <c r="C7" s="5">
        <v>45160</v>
      </c>
      <c r="D7" s="5"/>
      <c r="E7" s="3">
        <v>0</v>
      </c>
      <c r="F7" s="3">
        <v>599</v>
      </c>
      <c r="G7" s="3">
        <v>0</v>
      </c>
      <c r="H7" s="3" t="s">
        <v>16</v>
      </c>
      <c r="I7" s="3" t="s">
        <v>26</v>
      </c>
      <c r="L7" s="6">
        <f>1139250000/1000000</f>
        <v>1139.25</v>
      </c>
      <c r="M7" s="6">
        <f>1139250000/1000000</f>
        <v>1139.25</v>
      </c>
      <c r="N7" s="26">
        <v>0</v>
      </c>
      <c r="O7" s="7">
        <f t="shared" si="0"/>
        <v>0</v>
      </c>
      <c r="P7" s="8">
        <f t="shared" si="1"/>
        <v>1</v>
      </c>
      <c r="Q7" s="8">
        <f t="shared" si="2"/>
        <v>0</v>
      </c>
    </row>
    <row r="8" spans="1:17" s="3" customFormat="1" x14ac:dyDescent="0.2">
      <c r="A8" s="3">
        <v>32</v>
      </c>
      <c r="B8" s="3" t="s">
        <v>27</v>
      </c>
      <c r="C8" s="5">
        <v>45170</v>
      </c>
      <c r="D8" s="5">
        <v>45901</v>
      </c>
      <c r="E8" s="3">
        <v>731</v>
      </c>
      <c r="F8" s="3">
        <v>589</v>
      </c>
      <c r="G8" s="3">
        <v>0.80574555403556769</v>
      </c>
      <c r="H8" s="3" t="s">
        <v>28</v>
      </c>
      <c r="I8" s="3" t="s">
        <v>29</v>
      </c>
      <c r="L8" s="6">
        <f>408000000/1000000</f>
        <v>408</v>
      </c>
      <c r="M8" s="3">
        <v>408</v>
      </c>
      <c r="N8" s="26">
        <v>0</v>
      </c>
      <c r="O8" s="7">
        <f t="shared" si="0"/>
        <v>0</v>
      </c>
      <c r="P8" s="8">
        <f t="shared" si="1"/>
        <v>1</v>
      </c>
      <c r="Q8" s="8">
        <f t="shared" si="2"/>
        <v>0</v>
      </c>
    </row>
    <row r="9" spans="1:17" s="3" customFormat="1" x14ac:dyDescent="0.2">
      <c r="A9" s="3">
        <v>4</v>
      </c>
      <c r="B9" s="3" t="s">
        <v>30</v>
      </c>
      <c r="C9" s="5">
        <v>45200</v>
      </c>
      <c r="D9" s="5">
        <v>45931</v>
      </c>
      <c r="E9" s="3">
        <v>731</v>
      </c>
      <c r="F9" s="3">
        <v>559</v>
      </c>
      <c r="G9" s="3">
        <v>0.76470588235294112</v>
      </c>
      <c r="H9" s="3" t="s">
        <v>28</v>
      </c>
      <c r="I9" s="3" t="s">
        <v>31</v>
      </c>
      <c r="L9" s="6">
        <f>24056722803/1000000</f>
        <v>24056.722803000001</v>
      </c>
      <c r="M9" s="7">
        <f>673475225/1000000</f>
        <v>673.47522500000002</v>
      </c>
      <c r="N9" s="25">
        <f>2018951558/1000000</f>
        <v>2018.951558</v>
      </c>
      <c r="O9" s="7">
        <f t="shared" si="0"/>
        <v>21364.296020000002</v>
      </c>
      <c r="P9" s="8">
        <f t="shared" si="1"/>
        <v>0.11191993211412155</v>
      </c>
      <c r="Q9" s="8">
        <f t="shared" si="2"/>
        <v>0.88808006788587845</v>
      </c>
    </row>
    <row r="10" spans="1:17" s="3" customFormat="1" x14ac:dyDescent="0.2">
      <c r="A10" s="3">
        <v>28</v>
      </c>
      <c r="B10" s="3" t="s">
        <v>32</v>
      </c>
      <c r="C10" s="5">
        <v>45200</v>
      </c>
      <c r="D10" s="5">
        <v>45759</v>
      </c>
      <c r="E10" s="3">
        <v>559</v>
      </c>
      <c r="F10" s="3">
        <v>559</v>
      </c>
      <c r="G10" s="3">
        <v>1</v>
      </c>
      <c r="H10" s="3" t="s">
        <v>33</v>
      </c>
      <c r="I10" s="3" t="s">
        <v>34</v>
      </c>
      <c r="L10" s="6">
        <f>2296247653/1000000</f>
        <v>2296.2476529999999</v>
      </c>
      <c r="M10" s="6">
        <f>2186902527/1000000</f>
        <v>2186.9025270000002</v>
      </c>
      <c r="N10" s="27">
        <f>(656070758-546725632)/1000000</f>
        <v>109.34512599999999</v>
      </c>
      <c r="O10" s="7">
        <f t="shared" si="0"/>
        <v>-2.8421709430404007E-13</v>
      </c>
      <c r="P10" s="8">
        <f t="shared" si="1"/>
        <v>1.0000000000000002</v>
      </c>
      <c r="Q10" s="8">
        <f t="shared" si="2"/>
        <v>-1.237745823856222E-16</v>
      </c>
    </row>
    <row r="11" spans="1:17" s="3" customFormat="1" x14ac:dyDescent="0.2">
      <c r="A11" s="3">
        <v>5</v>
      </c>
      <c r="B11" s="3" t="s">
        <v>35</v>
      </c>
      <c r="C11" s="5">
        <v>45250</v>
      </c>
      <c r="D11" s="5">
        <v>45736</v>
      </c>
      <c r="E11" s="3">
        <v>486</v>
      </c>
      <c r="F11" s="3">
        <v>509</v>
      </c>
      <c r="G11" s="3">
        <v>1.0473251028806585</v>
      </c>
      <c r="H11" s="3" t="s">
        <v>28</v>
      </c>
      <c r="I11" s="3" t="s">
        <v>36</v>
      </c>
      <c r="L11" s="3">
        <v>0</v>
      </c>
      <c r="M11" s="3">
        <v>0</v>
      </c>
      <c r="N11" s="26">
        <v>0</v>
      </c>
      <c r="O11" s="7">
        <f t="shared" si="0"/>
        <v>0</v>
      </c>
      <c r="P11" s="8" t="e">
        <f t="shared" si="1"/>
        <v>#DIV/0!</v>
      </c>
      <c r="Q11" s="8" t="e">
        <f t="shared" si="2"/>
        <v>#DIV/0!</v>
      </c>
    </row>
    <row r="12" spans="1:17" s="3" customFormat="1" x14ac:dyDescent="0.2">
      <c r="A12" s="3">
        <v>6</v>
      </c>
      <c r="B12" s="3" t="s">
        <v>37</v>
      </c>
      <c r="C12" s="5">
        <v>45286</v>
      </c>
      <c r="D12" s="5">
        <v>45736</v>
      </c>
      <c r="E12" s="3">
        <v>450</v>
      </c>
      <c r="F12" s="3">
        <v>473</v>
      </c>
      <c r="G12" s="3">
        <v>0</v>
      </c>
      <c r="H12" s="3" t="s">
        <v>16</v>
      </c>
      <c r="I12" s="3" t="s">
        <v>36</v>
      </c>
      <c r="L12" s="3">
        <v>0</v>
      </c>
      <c r="M12" s="3">
        <v>0</v>
      </c>
      <c r="N12" s="26">
        <v>0</v>
      </c>
      <c r="O12" s="7">
        <f t="shared" si="0"/>
        <v>0</v>
      </c>
      <c r="P12" s="8" t="e">
        <f t="shared" si="1"/>
        <v>#DIV/0!</v>
      </c>
      <c r="Q12" s="8" t="e">
        <f t="shared" si="2"/>
        <v>#DIV/0!</v>
      </c>
    </row>
    <row r="13" spans="1:17" s="3" customFormat="1" x14ac:dyDescent="0.2">
      <c r="A13" s="3">
        <v>7</v>
      </c>
      <c r="B13" s="3" t="s">
        <v>38</v>
      </c>
      <c r="C13" s="5">
        <v>45314</v>
      </c>
      <c r="D13" s="5">
        <v>45770</v>
      </c>
      <c r="E13" s="3">
        <v>456</v>
      </c>
      <c r="F13" s="3">
        <v>445</v>
      </c>
      <c r="G13" s="3">
        <v>0.97587719298245612</v>
      </c>
      <c r="H13" s="3" t="s">
        <v>28</v>
      </c>
      <c r="I13" s="3" t="s">
        <v>39</v>
      </c>
      <c r="L13" s="6">
        <v>0</v>
      </c>
      <c r="M13" s="7">
        <f>223076700/10000000</f>
        <v>22.307670000000002</v>
      </c>
      <c r="N13" s="27">
        <f>116788650/1000000</f>
        <v>116.78865</v>
      </c>
      <c r="O13" s="7">
        <f t="shared" si="0"/>
        <v>-139.09631999999999</v>
      </c>
      <c r="P13" s="8" t="e">
        <f t="shared" si="1"/>
        <v>#DIV/0!</v>
      </c>
      <c r="Q13" s="8" t="e">
        <f t="shared" si="2"/>
        <v>#DIV/0!</v>
      </c>
    </row>
    <row r="14" spans="1:17" s="3" customFormat="1" x14ac:dyDescent="0.2">
      <c r="A14" s="3">
        <v>25</v>
      </c>
      <c r="B14" s="3" t="s">
        <v>40</v>
      </c>
      <c r="C14" s="5">
        <v>45314</v>
      </c>
      <c r="D14" s="5">
        <v>45953</v>
      </c>
      <c r="E14" s="3">
        <v>639</v>
      </c>
      <c r="F14" s="3">
        <v>445</v>
      </c>
      <c r="G14" s="3">
        <v>0.69640062597809071</v>
      </c>
      <c r="H14" s="3" t="s">
        <v>33</v>
      </c>
      <c r="I14" s="3" t="s">
        <v>39</v>
      </c>
      <c r="M14" s="3">
        <v>223</v>
      </c>
      <c r="N14" s="26"/>
      <c r="O14" s="7">
        <f t="shared" si="0"/>
        <v>-223</v>
      </c>
      <c r="P14" s="8" t="e">
        <f t="shared" si="1"/>
        <v>#DIV/0!</v>
      </c>
      <c r="Q14" s="8" t="e">
        <f t="shared" si="2"/>
        <v>#DIV/0!</v>
      </c>
    </row>
    <row r="15" spans="1:17" s="3" customFormat="1" x14ac:dyDescent="0.2">
      <c r="A15" s="3">
        <v>26</v>
      </c>
      <c r="B15" s="3" t="s">
        <v>41</v>
      </c>
      <c r="C15" s="5">
        <v>45321</v>
      </c>
      <c r="D15" s="5">
        <v>45838</v>
      </c>
      <c r="E15" s="3">
        <v>517</v>
      </c>
      <c r="F15" s="3">
        <v>438</v>
      </c>
      <c r="G15" s="3">
        <v>0.84719535783365574</v>
      </c>
      <c r="H15" s="3" t="s">
        <v>33</v>
      </c>
      <c r="I15" s="3" t="s">
        <v>39</v>
      </c>
      <c r="L15" s="3">
        <v>456</v>
      </c>
      <c r="M15" s="3">
        <v>159</v>
      </c>
      <c r="N15" s="26"/>
      <c r="O15" s="7">
        <f t="shared" si="0"/>
        <v>297</v>
      </c>
      <c r="P15" s="8">
        <f t="shared" si="1"/>
        <v>0.34868421052631576</v>
      </c>
      <c r="Q15" s="8">
        <f t="shared" si="2"/>
        <v>0.65131578947368418</v>
      </c>
    </row>
    <row r="16" spans="1:17" s="29" customFormat="1" x14ac:dyDescent="0.2">
      <c r="A16" s="29">
        <v>9</v>
      </c>
      <c r="B16" s="29" t="s">
        <v>42</v>
      </c>
      <c r="C16" s="30">
        <v>45323</v>
      </c>
      <c r="D16" s="30">
        <v>45868</v>
      </c>
      <c r="E16" s="29">
        <v>545</v>
      </c>
      <c r="F16" s="29">
        <v>436</v>
      </c>
      <c r="G16" s="29">
        <v>0.8</v>
      </c>
      <c r="H16" s="29" t="s">
        <v>33</v>
      </c>
      <c r="I16" s="29" t="s">
        <v>43</v>
      </c>
      <c r="L16" s="31">
        <f>2709510000/1000000</f>
        <v>2709.51</v>
      </c>
      <c r="M16" s="32">
        <f>1002351184/1000000</f>
        <v>1002.351184</v>
      </c>
      <c r="N16" s="32">
        <f>1232487634/1000000</f>
        <v>1232.4876340000001</v>
      </c>
      <c r="O16" s="32">
        <f t="shared" si="0"/>
        <v>474.67118200000004</v>
      </c>
      <c r="P16" s="33">
        <f t="shared" si="1"/>
        <v>0.8248129063926688</v>
      </c>
      <c r="Q16" s="33">
        <f t="shared" si="2"/>
        <v>0.17518709360733123</v>
      </c>
    </row>
    <row r="17" spans="1:18" s="3" customFormat="1" x14ac:dyDescent="0.2">
      <c r="A17" s="3">
        <v>10</v>
      </c>
      <c r="B17" s="3" t="s">
        <v>44</v>
      </c>
      <c r="C17" s="5">
        <v>45454</v>
      </c>
      <c r="D17" s="5">
        <v>45911</v>
      </c>
      <c r="E17" s="3">
        <v>457</v>
      </c>
      <c r="F17" s="3">
        <v>305</v>
      </c>
      <c r="G17" s="3">
        <v>0.66739606126914663</v>
      </c>
      <c r="H17" s="3" t="s">
        <v>28</v>
      </c>
      <c r="I17" s="3" t="s">
        <v>45</v>
      </c>
      <c r="L17" s="3">
        <v>0</v>
      </c>
      <c r="M17" s="3">
        <v>0</v>
      </c>
      <c r="N17" s="26">
        <v>0</v>
      </c>
      <c r="O17" s="7">
        <f t="shared" si="0"/>
        <v>0</v>
      </c>
      <c r="P17" s="8" t="e">
        <f t="shared" si="1"/>
        <v>#DIV/0!</v>
      </c>
      <c r="Q17" s="8" t="e">
        <f t="shared" si="2"/>
        <v>#DIV/0!</v>
      </c>
    </row>
    <row r="18" spans="1:18" s="29" customFormat="1" x14ac:dyDescent="0.2">
      <c r="A18" s="29">
        <v>8</v>
      </c>
      <c r="B18" s="29" t="s">
        <v>46</v>
      </c>
      <c r="C18" s="30">
        <v>45455</v>
      </c>
      <c r="D18" s="30">
        <v>46065</v>
      </c>
      <c r="E18" s="29">
        <v>610</v>
      </c>
      <c r="F18" s="29">
        <v>304</v>
      </c>
      <c r="G18" s="29">
        <v>0.49836065573770494</v>
      </c>
      <c r="H18" s="29" t="s">
        <v>28</v>
      </c>
      <c r="I18" s="29" t="s">
        <v>47</v>
      </c>
      <c r="L18" s="29">
        <v>8306</v>
      </c>
      <c r="M18" s="29">
        <v>6152</v>
      </c>
      <c r="O18" s="32">
        <f t="shared" si="0"/>
        <v>2154</v>
      </c>
      <c r="P18" s="33">
        <f t="shared" si="1"/>
        <v>0.74066939561762579</v>
      </c>
      <c r="Q18" s="33">
        <f t="shared" si="2"/>
        <v>0.25933060438237421</v>
      </c>
    </row>
    <row r="19" spans="1:18" s="3" customFormat="1" x14ac:dyDescent="0.2">
      <c r="A19" s="3">
        <v>30</v>
      </c>
      <c r="B19" s="3" t="s">
        <v>48</v>
      </c>
      <c r="C19" s="5">
        <v>45474</v>
      </c>
      <c r="D19" s="5">
        <v>46203</v>
      </c>
      <c r="E19" s="3">
        <v>729</v>
      </c>
      <c r="F19" s="3">
        <v>285</v>
      </c>
      <c r="G19" s="3">
        <v>0.39094650205761317</v>
      </c>
      <c r="H19" s="3" t="s">
        <v>28</v>
      </c>
      <c r="I19" s="3" t="s">
        <v>49</v>
      </c>
      <c r="L19" s="3">
        <v>67</v>
      </c>
      <c r="M19" s="3">
        <v>24.9</v>
      </c>
      <c r="N19" s="26"/>
      <c r="O19" s="7">
        <f t="shared" si="0"/>
        <v>42.1</v>
      </c>
      <c r="P19" s="8">
        <f t="shared" si="1"/>
        <v>0.37164179104477607</v>
      </c>
      <c r="Q19" s="8">
        <f t="shared" si="2"/>
        <v>0.62835820895522387</v>
      </c>
    </row>
    <row r="20" spans="1:18" s="3" customFormat="1" x14ac:dyDescent="0.2">
      <c r="A20" s="3">
        <v>11</v>
      </c>
      <c r="B20" s="3" t="s">
        <v>50</v>
      </c>
      <c r="C20" s="5">
        <v>45478</v>
      </c>
      <c r="D20" s="5">
        <v>45874</v>
      </c>
      <c r="E20" s="3">
        <v>396</v>
      </c>
      <c r="F20" s="3">
        <v>281</v>
      </c>
      <c r="G20" s="3">
        <v>0.70959595959595956</v>
      </c>
      <c r="H20" s="3" t="s">
        <v>28</v>
      </c>
      <c r="I20" s="3" t="s">
        <v>51</v>
      </c>
      <c r="N20" s="26"/>
      <c r="O20" s="7">
        <f t="shared" si="0"/>
        <v>0</v>
      </c>
      <c r="P20" s="8" t="e">
        <f t="shared" si="1"/>
        <v>#DIV/0!</v>
      </c>
      <c r="Q20" s="8" t="e">
        <f t="shared" si="2"/>
        <v>#DIV/0!</v>
      </c>
    </row>
    <row r="21" spans="1:18" s="3" customFormat="1" x14ac:dyDescent="0.2">
      <c r="A21" s="3">
        <v>33</v>
      </c>
      <c r="B21" s="3" t="s">
        <v>52</v>
      </c>
      <c r="C21" s="5">
        <v>45505</v>
      </c>
      <c r="D21" s="5">
        <v>46234</v>
      </c>
      <c r="E21" s="3">
        <v>729</v>
      </c>
      <c r="F21" s="3">
        <v>254</v>
      </c>
      <c r="G21" s="3">
        <v>0.34842249657064472</v>
      </c>
      <c r="H21" s="3" t="s">
        <v>28</v>
      </c>
      <c r="I21" s="3" t="s">
        <v>53</v>
      </c>
      <c r="L21" s="3">
        <v>360</v>
      </c>
      <c r="M21" s="3">
        <v>360</v>
      </c>
      <c r="N21" s="26"/>
      <c r="O21" s="7">
        <f t="shared" si="0"/>
        <v>0</v>
      </c>
      <c r="P21" s="8">
        <f t="shared" si="1"/>
        <v>1</v>
      </c>
      <c r="Q21" s="8">
        <f t="shared" si="2"/>
        <v>0</v>
      </c>
    </row>
    <row r="22" spans="1:18" s="3" customFormat="1" x14ac:dyDescent="0.2">
      <c r="A22" s="3">
        <v>12</v>
      </c>
      <c r="B22" s="3" t="s">
        <v>54</v>
      </c>
      <c r="C22" s="5">
        <v>45516</v>
      </c>
      <c r="D22" s="5">
        <v>45759</v>
      </c>
      <c r="E22" s="3">
        <v>243</v>
      </c>
      <c r="F22" s="3">
        <v>243</v>
      </c>
      <c r="G22" s="3">
        <v>1</v>
      </c>
      <c r="H22" s="3" t="s">
        <v>28</v>
      </c>
      <c r="I22" s="3" t="s">
        <v>55</v>
      </c>
      <c r="N22" s="26"/>
      <c r="O22" s="7">
        <f t="shared" si="0"/>
        <v>0</v>
      </c>
      <c r="P22" s="8" t="e">
        <f t="shared" si="1"/>
        <v>#DIV/0!</v>
      </c>
      <c r="Q22" s="8" t="e">
        <f t="shared" si="2"/>
        <v>#DIV/0!</v>
      </c>
    </row>
    <row r="23" spans="1:18" s="3" customFormat="1" x14ac:dyDescent="0.2">
      <c r="A23" s="3">
        <v>13</v>
      </c>
      <c r="B23" s="3" t="s">
        <v>56</v>
      </c>
      <c r="C23" s="5">
        <v>45545</v>
      </c>
      <c r="D23" s="5">
        <v>45698</v>
      </c>
      <c r="E23" s="3">
        <v>158</v>
      </c>
      <c r="F23" s="3">
        <v>214</v>
      </c>
      <c r="G23" s="3">
        <v>0</v>
      </c>
      <c r="H23" s="3" t="s">
        <v>16</v>
      </c>
      <c r="I23" s="3" t="s">
        <v>57</v>
      </c>
      <c r="N23" s="26"/>
      <c r="O23" s="7">
        <f t="shared" si="0"/>
        <v>0</v>
      </c>
      <c r="P23" s="8" t="e">
        <f t="shared" si="1"/>
        <v>#DIV/0!</v>
      </c>
      <c r="Q23" s="8" t="e">
        <f t="shared" si="2"/>
        <v>#DIV/0!</v>
      </c>
    </row>
    <row r="24" spans="1:18" s="3" customFormat="1" x14ac:dyDescent="0.2">
      <c r="A24" s="3">
        <v>18</v>
      </c>
      <c r="B24" s="3" t="s">
        <v>58</v>
      </c>
      <c r="C24" s="5">
        <v>45545</v>
      </c>
      <c r="D24" s="5">
        <v>45787</v>
      </c>
      <c r="E24" s="3">
        <v>243</v>
      </c>
      <c r="F24" s="3">
        <v>206</v>
      </c>
      <c r="G24" s="3">
        <v>0.84773662551440332</v>
      </c>
      <c r="H24" s="3" t="s">
        <v>28</v>
      </c>
      <c r="I24" s="3" t="s">
        <v>59</v>
      </c>
      <c r="L24" s="3">
        <v>2571</v>
      </c>
      <c r="M24" s="3">
        <v>1286</v>
      </c>
      <c r="N24" s="26"/>
      <c r="O24" s="7">
        <f t="shared" si="0"/>
        <v>1285</v>
      </c>
      <c r="P24" s="8">
        <f t="shared" si="1"/>
        <v>0.50019447685725393</v>
      </c>
      <c r="Q24" s="8">
        <f t="shared" si="2"/>
        <v>0.49980552314274601</v>
      </c>
    </row>
    <row r="25" spans="1:18" s="3" customFormat="1" x14ac:dyDescent="0.2">
      <c r="A25" s="3">
        <v>17</v>
      </c>
      <c r="B25" s="3" t="s">
        <v>60</v>
      </c>
      <c r="C25" s="5">
        <v>45566</v>
      </c>
      <c r="D25" s="5">
        <v>45850</v>
      </c>
      <c r="E25" s="3">
        <v>284</v>
      </c>
      <c r="F25" s="3">
        <v>193</v>
      </c>
      <c r="G25" s="3">
        <v>0.67957746478873238</v>
      </c>
      <c r="H25" s="3" t="s">
        <v>28</v>
      </c>
      <c r="I25" s="3" t="s">
        <v>61</v>
      </c>
      <c r="L25" s="7"/>
      <c r="M25" s="7"/>
      <c r="N25" s="26"/>
      <c r="O25" s="7">
        <f t="shared" si="0"/>
        <v>0</v>
      </c>
      <c r="P25" s="8" t="e">
        <f t="shared" si="1"/>
        <v>#DIV/0!</v>
      </c>
      <c r="Q25" s="8" t="e">
        <f t="shared" si="2"/>
        <v>#DIV/0!</v>
      </c>
      <c r="R25" s="6"/>
    </row>
    <row r="26" spans="1:18" s="3" customFormat="1" x14ac:dyDescent="0.2">
      <c r="A26" s="3">
        <v>14</v>
      </c>
      <c r="B26" s="3" t="s">
        <v>62</v>
      </c>
      <c r="C26" s="5">
        <v>45574</v>
      </c>
      <c r="D26" s="5">
        <v>45818</v>
      </c>
      <c r="E26" s="3">
        <v>244</v>
      </c>
      <c r="F26" s="3">
        <v>185</v>
      </c>
      <c r="G26" s="3">
        <v>0.75819672131147542</v>
      </c>
      <c r="H26" s="3" t="s">
        <v>28</v>
      </c>
      <c r="I26" s="3" t="s">
        <v>63</v>
      </c>
      <c r="L26" s="3">
        <v>18</v>
      </c>
      <c r="M26" s="3">
        <v>18</v>
      </c>
      <c r="N26" s="26"/>
      <c r="O26" s="7">
        <f t="shared" si="0"/>
        <v>0</v>
      </c>
      <c r="P26" s="8">
        <f t="shared" si="1"/>
        <v>1</v>
      </c>
      <c r="Q26" s="8">
        <f t="shared" si="2"/>
        <v>0</v>
      </c>
    </row>
    <row r="27" spans="1:18" s="3" customFormat="1" x14ac:dyDescent="0.2">
      <c r="A27" s="3">
        <v>15</v>
      </c>
      <c r="B27" s="3" t="s">
        <v>64</v>
      </c>
      <c r="C27" s="5">
        <v>45583</v>
      </c>
      <c r="D27" s="5">
        <v>45657</v>
      </c>
      <c r="E27" s="3">
        <v>74</v>
      </c>
      <c r="F27" s="3">
        <v>176</v>
      </c>
      <c r="G27" s="3">
        <v>0</v>
      </c>
      <c r="H27" s="3" t="s">
        <v>16</v>
      </c>
      <c r="I27" s="3" t="s">
        <v>65</v>
      </c>
      <c r="L27" s="3">
        <v>65</v>
      </c>
      <c r="M27" s="6">
        <f>32500000/1000000</f>
        <v>32.5</v>
      </c>
      <c r="N27" s="27">
        <f>32500000/1000000</f>
        <v>32.5</v>
      </c>
      <c r="O27" s="7">
        <f t="shared" si="0"/>
        <v>0</v>
      </c>
      <c r="P27" s="8">
        <f t="shared" si="1"/>
        <v>1</v>
      </c>
      <c r="Q27" s="8">
        <f t="shared" si="2"/>
        <v>0</v>
      </c>
    </row>
    <row r="28" spans="1:18" s="3" customFormat="1" x14ac:dyDescent="0.2">
      <c r="A28" s="3">
        <v>16</v>
      </c>
      <c r="B28" s="3" t="s">
        <v>66</v>
      </c>
      <c r="C28" s="5">
        <v>45589</v>
      </c>
      <c r="D28" s="5">
        <v>46752</v>
      </c>
      <c r="E28" s="3">
        <v>1163</v>
      </c>
      <c r="F28" s="3">
        <v>170</v>
      </c>
      <c r="G28" s="3">
        <v>0.14617368873602751</v>
      </c>
      <c r="H28" s="3" t="s">
        <v>28</v>
      </c>
      <c r="I28" s="3" t="s">
        <v>67</v>
      </c>
      <c r="L28" s="3">
        <v>1846</v>
      </c>
      <c r="M28" s="3">
        <v>554</v>
      </c>
      <c r="N28" s="26">
        <v>612.4</v>
      </c>
      <c r="O28" s="7">
        <f t="shared" si="0"/>
        <v>679.6</v>
      </c>
      <c r="P28" s="8">
        <f t="shared" si="1"/>
        <v>0.63185265438786575</v>
      </c>
      <c r="Q28" s="8">
        <f t="shared" si="2"/>
        <v>0.36814734561213436</v>
      </c>
    </row>
    <row r="29" spans="1:18" s="3" customFormat="1" x14ac:dyDescent="0.2">
      <c r="A29" s="3">
        <v>31</v>
      </c>
      <c r="B29" s="3" t="s">
        <v>68</v>
      </c>
      <c r="C29" s="5">
        <v>45624</v>
      </c>
      <c r="D29" s="5">
        <v>46752</v>
      </c>
      <c r="E29" s="3">
        <v>1128</v>
      </c>
      <c r="F29" s="3">
        <v>135</v>
      </c>
      <c r="G29" s="3">
        <v>0.11968085106382979</v>
      </c>
      <c r="H29" s="3" t="s">
        <v>28</v>
      </c>
      <c r="I29" s="3" t="s">
        <v>69</v>
      </c>
      <c r="N29" s="26"/>
      <c r="O29" s="7">
        <f t="shared" si="0"/>
        <v>0</v>
      </c>
      <c r="P29" s="8" t="e">
        <f t="shared" si="1"/>
        <v>#DIV/0!</v>
      </c>
      <c r="Q29" s="8" t="e">
        <f t="shared" si="2"/>
        <v>#DIV/0!</v>
      </c>
    </row>
    <row r="30" spans="1:18" s="3" customFormat="1" x14ac:dyDescent="0.2">
      <c r="A30" s="3">
        <v>19</v>
      </c>
      <c r="B30" s="3" t="s">
        <v>70</v>
      </c>
      <c r="C30" s="5">
        <v>45636</v>
      </c>
      <c r="D30" s="5">
        <v>45746</v>
      </c>
      <c r="E30" s="3">
        <v>110</v>
      </c>
      <c r="F30" s="3">
        <v>123</v>
      </c>
      <c r="G30" s="3">
        <v>0</v>
      </c>
      <c r="H30" s="3" t="s">
        <v>16</v>
      </c>
      <c r="I30" s="3" t="s">
        <v>39</v>
      </c>
      <c r="N30" s="26"/>
      <c r="O30" s="7">
        <f t="shared" si="0"/>
        <v>0</v>
      </c>
      <c r="P30" s="8" t="e">
        <f t="shared" si="1"/>
        <v>#DIV/0!</v>
      </c>
      <c r="Q30" s="8" t="e">
        <f t="shared" si="2"/>
        <v>#DIV/0!</v>
      </c>
    </row>
    <row r="31" spans="1:18" s="3" customFormat="1" x14ac:dyDescent="0.2">
      <c r="A31" s="3">
        <v>20</v>
      </c>
      <c r="B31" s="3" t="s">
        <v>71</v>
      </c>
      <c r="C31" s="5">
        <v>45638</v>
      </c>
      <c r="D31" s="5">
        <v>45838</v>
      </c>
      <c r="E31" s="3">
        <v>200</v>
      </c>
      <c r="F31" s="3">
        <v>121</v>
      </c>
      <c r="G31" s="3">
        <v>0.60499999999999998</v>
      </c>
      <c r="H31" s="3" t="s">
        <v>28</v>
      </c>
      <c r="I31" s="3" t="s">
        <v>26</v>
      </c>
      <c r="L31" s="3">
        <v>1139</v>
      </c>
      <c r="M31" s="3">
        <v>1139</v>
      </c>
      <c r="N31" s="26"/>
      <c r="O31" s="7">
        <f t="shared" si="0"/>
        <v>0</v>
      </c>
      <c r="P31" s="8">
        <f t="shared" si="1"/>
        <v>1</v>
      </c>
      <c r="Q31" s="8">
        <f t="shared" si="2"/>
        <v>0</v>
      </c>
    </row>
    <row r="32" spans="1:18" s="3" customFormat="1" x14ac:dyDescent="0.2">
      <c r="A32" s="3">
        <v>21</v>
      </c>
      <c r="B32" s="3" t="s">
        <v>72</v>
      </c>
      <c r="C32" s="5">
        <v>45646</v>
      </c>
      <c r="D32" s="5">
        <v>45342</v>
      </c>
      <c r="E32" s="3">
        <v>-304</v>
      </c>
      <c r="F32" s="3">
        <v>113</v>
      </c>
      <c r="G32" s="3">
        <v>0</v>
      </c>
      <c r="H32" s="3" t="s">
        <v>16</v>
      </c>
      <c r="I32" s="3" t="s">
        <v>73</v>
      </c>
      <c r="N32" s="26"/>
      <c r="O32" s="7">
        <f t="shared" si="0"/>
        <v>0</v>
      </c>
      <c r="P32" s="8" t="e">
        <f t="shared" si="1"/>
        <v>#DIV/0!</v>
      </c>
      <c r="Q32" s="8" t="e">
        <f t="shared" si="2"/>
        <v>#DIV/0!</v>
      </c>
    </row>
    <row r="33" spans="1:18" s="3" customFormat="1" x14ac:dyDescent="0.2">
      <c r="A33" s="3">
        <v>29</v>
      </c>
      <c r="B33" s="3" t="s">
        <v>74</v>
      </c>
      <c r="C33" s="5">
        <v>45646</v>
      </c>
      <c r="D33" s="5">
        <v>45767</v>
      </c>
      <c r="E33" s="3">
        <v>121</v>
      </c>
      <c r="F33" s="3">
        <v>113</v>
      </c>
      <c r="G33" s="3">
        <v>0.93388429752066116</v>
      </c>
      <c r="H33" s="3" t="s">
        <v>33</v>
      </c>
      <c r="I33" s="3" t="s">
        <v>73</v>
      </c>
      <c r="L33" s="7">
        <f>198264725/1000000</f>
        <v>198.264725</v>
      </c>
      <c r="M33" s="7">
        <f>190643863/1000000</f>
        <v>190.64386300000001</v>
      </c>
      <c r="N33" s="25">
        <v>7.6208619999999998</v>
      </c>
      <c r="O33" s="7">
        <f t="shared" si="0"/>
        <v>-1.1546319456101628E-14</v>
      </c>
      <c r="P33" s="8">
        <f t="shared" si="1"/>
        <v>1</v>
      </c>
      <c r="Q33" s="8">
        <f t="shared" si="2"/>
        <v>-5.8236882310262847E-17</v>
      </c>
      <c r="R33" s="6"/>
    </row>
    <row r="34" spans="1:18" s="3" customFormat="1" x14ac:dyDescent="0.2">
      <c r="A34" s="3">
        <v>22</v>
      </c>
      <c r="B34" s="3" t="s">
        <v>75</v>
      </c>
      <c r="C34" s="5">
        <v>45663</v>
      </c>
      <c r="D34" s="5">
        <v>46393</v>
      </c>
      <c r="E34" s="3">
        <v>730</v>
      </c>
      <c r="F34" s="3">
        <v>96</v>
      </c>
      <c r="G34" s="3">
        <v>0.13150684931506848</v>
      </c>
      <c r="H34" s="3" t="s">
        <v>28</v>
      </c>
      <c r="I34" s="3" t="s">
        <v>76</v>
      </c>
      <c r="L34" s="6">
        <f>408000000/1000000</f>
        <v>408</v>
      </c>
      <c r="M34" s="6"/>
      <c r="N34" s="27">
        <v>136</v>
      </c>
      <c r="O34" s="7">
        <f t="shared" si="0"/>
        <v>272</v>
      </c>
      <c r="P34" s="8">
        <f t="shared" si="1"/>
        <v>0.33333333333333331</v>
      </c>
      <c r="Q34" s="8">
        <f t="shared" si="2"/>
        <v>0.66666666666666663</v>
      </c>
    </row>
    <row r="35" spans="1:18" s="3" customFormat="1" x14ac:dyDescent="0.2">
      <c r="A35" s="3">
        <v>23</v>
      </c>
      <c r="B35" s="3" t="s">
        <v>77</v>
      </c>
      <c r="C35" s="5">
        <v>45663</v>
      </c>
      <c r="D35" s="5">
        <v>46476</v>
      </c>
      <c r="E35" s="3">
        <v>813</v>
      </c>
      <c r="F35" s="3">
        <v>96</v>
      </c>
      <c r="G35" s="3">
        <v>0.11808118081180811</v>
      </c>
      <c r="H35" s="3" t="s">
        <v>28</v>
      </c>
      <c r="I35" s="3" t="s">
        <v>67</v>
      </c>
      <c r="L35" s="6">
        <f>2848590558/1000000</f>
        <v>2848.5905579999999</v>
      </c>
      <c r="N35" s="27">
        <v>459</v>
      </c>
      <c r="O35" s="7">
        <f t="shared" si="0"/>
        <v>2389.5905579999999</v>
      </c>
      <c r="P35" s="8">
        <f t="shared" si="1"/>
        <v>0.16113231812516596</v>
      </c>
      <c r="Q35" s="8">
        <f t="shared" si="2"/>
        <v>0.83886768187483407</v>
      </c>
    </row>
    <row r="36" spans="1:18" s="3" customFormat="1" x14ac:dyDescent="0.2">
      <c r="A36" s="3">
        <v>24</v>
      </c>
      <c r="B36" s="3" t="s">
        <v>78</v>
      </c>
      <c r="C36" s="5">
        <v>45666</v>
      </c>
      <c r="D36" s="5">
        <v>45696</v>
      </c>
      <c r="E36" s="3">
        <v>30</v>
      </c>
      <c r="F36" s="3">
        <v>93</v>
      </c>
      <c r="G36" s="3">
        <v>0</v>
      </c>
      <c r="H36" s="3" t="s">
        <v>16</v>
      </c>
      <c r="I36" s="3" t="s">
        <v>79</v>
      </c>
      <c r="L36" s="3">
        <f>10000000/1000000</f>
        <v>10</v>
      </c>
      <c r="N36" s="26">
        <v>10</v>
      </c>
      <c r="O36" s="7">
        <f t="shared" si="0"/>
        <v>0</v>
      </c>
      <c r="P36" s="8">
        <f t="shared" si="1"/>
        <v>1</v>
      </c>
      <c r="Q36" s="8">
        <f t="shared" si="2"/>
        <v>0</v>
      </c>
    </row>
    <row r="37" spans="1:18" s="3" customFormat="1" x14ac:dyDescent="0.2">
      <c r="A37" s="3">
        <v>27</v>
      </c>
      <c r="B37" s="3" t="s">
        <v>80</v>
      </c>
      <c r="C37" s="5">
        <v>45694</v>
      </c>
      <c r="D37" s="5">
        <v>45874</v>
      </c>
      <c r="E37" s="3">
        <v>180</v>
      </c>
      <c r="F37" s="3">
        <v>65</v>
      </c>
      <c r="G37" s="3">
        <v>0.3611111111111111</v>
      </c>
      <c r="H37" s="3" t="s">
        <v>33</v>
      </c>
      <c r="I37" s="3" t="s">
        <v>81</v>
      </c>
      <c r="L37" s="3">
        <v>165987</v>
      </c>
      <c r="M37" s="3">
        <v>42090</v>
      </c>
      <c r="N37" s="26"/>
      <c r="O37" s="7">
        <f t="shared" si="0"/>
        <v>123897</v>
      </c>
      <c r="P37" s="8">
        <f t="shared" si="1"/>
        <v>0.25357407507816876</v>
      </c>
      <c r="Q37" s="8">
        <f t="shared" si="2"/>
        <v>0.74642592492183124</v>
      </c>
    </row>
    <row r="38" spans="1:18" s="3" customFormat="1" x14ac:dyDescent="0.2">
      <c r="A38" s="3">
        <v>30</v>
      </c>
      <c r="B38" s="3" t="s">
        <v>82</v>
      </c>
      <c r="C38" s="5">
        <v>45762</v>
      </c>
      <c r="D38" s="5">
        <v>45945</v>
      </c>
      <c r="E38" s="3">
        <v>180</v>
      </c>
      <c r="F38" s="3">
        <v>78</v>
      </c>
      <c r="H38" s="3" t="s">
        <v>33</v>
      </c>
      <c r="I38" s="3" t="s">
        <v>67</v>
      </c>
      <c r="L38" s="6">
        <f>9757908840/1000000</f>
        <v>9757.9088400000001</v>
      </c>
      <c r="N38" s="25">
        <v>7374</v>
      </c>
      <c r="O38" s="7">
        <f t="shared" si="0"/>
        <v>2383.9088400000001</v>
      </c>
      <c r="P38" s="8">
        <f t="shared" si="1"/>
        <v>0.75569470066908306</v>
      </c>
      <c r="Q38" s="8">
        <f t="shared" si="2"/>
        <v>0.24430529933091688</v>
      </c>
    </row>
    <row r="39" spans="1:18" s="3" customFormat="1" x14ac:dyDescent="0.2">
      <c r="A39" s="3">
        <v>31</v>
      </c>
      <c r="B39" s="3" t="s">
        <v>83</v>
      </c>
      <c r="C39" s="5">
        <v>45768</v>
      </c>
      <c r="D39" s="5">
        <v>45890</v>
      </c>
      <c r="E39" s="3">
        <v>120</v>
      </c>
      <c r="F39" s="3">
        <v>72</v>
      </c>
      <c r="H39" s="3" t="s">
        <v>28</v>
      </c>
      <c r="I39" s="3" t="s">
        <v>94</v>
      </c>
      <c r="L39" s="6">
        <f>145543755/1000000</f>
        <v>145.543755</v>
      </c>
      <c r="N39" s="25">
        <v>146</v>
      </c>
      <c r="O39" s="7">
        <f t="shared" si="0"/>
        <v>-0.45624499999999557</v>
      </c>
      <c r="P39" s="8">
        <f t="shared" si="1"/>
        <v>1.0031347617766218</v>
      </c>
      <c r="Q39" s="8">
        <f t="shared" si="2"/>
        <v>-3.1347617766217147E-3</v>
      </c>
    </row>
    <row r="40" spans="1:18" s="3" customFormat="1" x14ac:dyDescent="0.2">
      <c r="A40" s="3">
        <v>32</v>
      </c>
      <c r="B40" s="3" t="s">
        <v>84</v>
      </c>
      <c r="C40" s="5">
        <v>45778</v>
      </c>
      <c r="D40" s="5">
        <v>46143</v>
      </c>
      <c r="E40" s="3">
        <v>365</v>
      </c>
      <c r="F40" s="3">
        <v>62</v>
      </c>
      <c r="H40" s="3" t="s">
        <v>28</v>
      </c>
      <c r="I40" s="3" t="s">
        <v>95</v>
      </c>
      <c r="L40" s="6">
        <f>2417361075/1000000</f>
        <v>2417.3610749999998</v>
      </c>
      <c r="N40" s="25"/>
      <c r="O40" s="7"/>
      <c r="P40" s="8">
        <f t="shared" ref="P40" si="3">(M40+N40)/L40</f>
        <v>0</v>
      </c>
      <c r="Q40" s="8">
        <f t="shared" ref="Q40" si="4">O40/L40</f>
        <v>0</v>
      </c>
    </row>
    <row r="41" spans="1:18" s="3" customFormat="1" x14ac:dyDescent="0.2">
      <c r="A41" s="3">
        <v>33</v>
      </c>
      <c r="B41" s="4" t="s">
        <v>85</v>
      </c>
      <c r="C41" s="5">
        <v>45454</v>
      </c>
      <c r="D41" s="5">
        <v>46245</v>
      </c>
      <c r="E41" s="3">
        <v>791</v>
      </c>
      <c r="F41" s="3">
        <v>386</v>
      </c>
      <c r="H41" s="3" t="s">
        <v>33</v>
      </c>
      <c r="I41" s="3" t="s">
        <v>45</v>
      </c>
      <c r="L41" s="3">
        <v>7685</v>
      </c>
      <c r="M41" s="7">
        <f>2686200000/1000000</f>
        <v>2686.2</v>
      </c>
      <c r="N41" s="25">
        <f>4442331000/1000000</f>
        <v>4442.3310000000001</v>
      </c>
      <c r="O41" s="7">
        <f t="shared" si="0"/>
        <v>556.46900000000005</v>
      </c>
      <c r="P41" s="8">
        <f t="shared" si="1"/>
        <v>0.92759024072869223</v>
      </c>
      <c r="Q41" s="8">
        <f t="shared" si="2"/>
        <v>7.2409759271307744E-2</v>
      </c>
    </row>
    <row r="42" spans="1:18" s="29" customFormat="1" x14ac:dyDescent="0.2">
      <c r="A42" s="29">
        <v>34</v>
      </c>
      <c r="B42" s="34" t="s">
        <v>86</v>
      </c>
      <c r="C42" s="30">
        <v>45461</v>
      </c>
      <c r="D42" s="30">
        <v>46191</v>
      </c>
      <c r="E42" s="29">
        <v>730</v>
      </c>
      <c r="F42" s="29">
        <v>379</v>
      </c>
      <c r="H42" s="29" t="s">
        <v>96</v>
      </c>
      <c r="I42" s="29" t="s">
        <v>47</v>
      </c>
      <c r="L42" s="31">
        <f>8306130000/1000000</f>
        <v>8306.1299999999992</v>
      </c>
      <c r="M42" s="32">
        <f>6152132315/1000000</f>
        <v>6152.1323149999998</v>
      </c>
      <c r="N42" s="32">
        <f>421738183/1000000</f>
        <v>421.73818299999999</v>
      </c>
      <c r="O42" s="32">
        <f t="shared" ref="O42" si="5">L42-M42-N42</f>
        <v>1732.2595019999994</v>
      </c>
      <c r="P42" s="33">
        <f t="shared" ref="P42" si="6">(M42+N42)/L42</f>
        <v>0.79144806281625746</v>
      </c>
      <c r="Q42" s="33">
        <f t="shared" ref="Q42" si="7">O42/L42</f>
        <v>0.20855193718374257</v>
      </c>
    </row>
    <row r="43" spans="1:18" s="3" customFormat="1" x14ac:dyDescent="0.2">
      <c r="A43" s="3">
        <v>35</v>
      </c>
      <c r="B43" s="4" t="s">
        <v>91</v>
      </c>
      <c r="C43" s="5">
        <v>45574</v>
      </c>
      <c r="D43" s="5">
        <v>45848</v>
      </c>
      <c r="E43" s="3">
        <v>275</v>
      </c>
      <c r="F43" s="3">
        <v>266</v>
      </c>
      <c r="H43" s="3" t="s">
        <v>96</v>
      </c>
      <c r="I43" s="3" t="s">
        <v>63</v>
      </c>
      <c r="L43" s="3">
        <v>20</v>
      </c>
      <c r="M43" s="3">
        <v>20</v>
      </c>
      <c r="N43" s="26"/>
      <c r="O43" s="7">
        <f t="shared" si="0"/>
        <v>0</v>
      </c>
      <c r="P43" s="8">
        <f t="shared" si="1"/>
        <v>1</v>
      </c>
      <c r="Q43" s="8">
        <f t="shared" si="2"/>
        <v>0</v>
      </c>
    </row>
    <row r="44" spans="1:18" s="3" customFormat="1" x14ac:dyDescent="0.2">
      <c r="A44" s="3">
        <v>36</v>
      </c>
      <c r="B44" s="4" t="s">
        <v>87</v>
      </c>
      <c r="C44" s="5">
        <v>45805</v>
      </c>
      <c r="D44" s="5">
        <v>46109</v>
      </c>
      <c r="E44" s="3">
        <v>304</v>
      </c>
      <c r="F44" s="3">
        <v>35</v>
      </c>
      <c r="H44" s="3" t="s">
        <v>97</v>
      </c>
      <c r="I44" s="3" t="s">
        <v>98</v>
      </c>
      <c r="L44" s="6">
        <f>1607280000/1000000</f>
        <v>1607.28</v>
      </c>
      <c r="N44" s="25">
        <f>964368000/1000000</f>
        <v>964.36800000000005</v>
      </c>
      <c r="O44" s="7">
        <f t="shared" ref="O44" si="8">L44-M44-N44</f>
        <v>642.91199999999992</v>
      </c>
      <c r="P44" s="8">
        <f t="shared" ref="P44" si="9">(M44+N44)/L44</f>
        <v>0.60000000000000009</v>
      </c>
      <c r="Q44" s="8">
        <f t="shared" ref="Q44" si="10">O44/L44</f>
        <v>0.39999999999999997</v>
      </c>
    </row>
    <row r="45" spans="1:18" s="3" customFormat="1" x14ac:dyDescent="0.2">
      <c r="A45" s="3">
        <v>37</v>
      </c>
      <c r="B45" s="4" t="s">
        <v>88</v>
      </c>
      <c r="C45" s="5">
        <v>45818</v>
      </c>
      <c r="D45" s="5">
        <v>45667</v>
      </c>
      <c r="E45" s="3">
        <v>214</v>
      </c>
      <c r="F45" s="3">
        <v>22</v>
      </c>
      <c r="H45" s="3" t="s">
        <v>99</v>
      </c>
      <c r="I45" s="3" t="s">
        <v>73</v>
      </c>
      <c r="L45" s="6">
        <v>0</v>
      </c>
      <c r="N45" s="25"/>
      <c r="O45" s="7">
        <f t="shared" ref="O45" si="11">L45-M45-N45</f>
        <v>0</v>
      </c>
      <c r="P45" s="8" t="e">
        <f t="shared" ref="P45" si="12">(M45+N45)/L45</f>
        <v>#DIV/0!</v>
      </c>
      <c r="Q45" s="8" t="e">
        <f t="shared" ref="Q45" si="13">O45/L45</f>
        <v>#DIV/0!</v>
      </c>
    </row>
    <row r="46" spans="1:18" s="3" customFormat="1" x14ac:dyDescent="0.2">
      <c r="A46" s="3">
        <v>38</v>
      </c>
      <c r="B46" s="4" t="s">
        <v>90</v>
      </c>
      <c r="C46" s="5">
        <v>45545</v>
      </c>
      <c r="D46" s="5">
        <v>45971</v>
      </c>
      <c r="E46" s="3">
        <v>426</v>
      </c>
      <c r="F46" s="3">
        <v>325</v>
      </c>
      <c r="H46" s="3" t="s">
        <v>96</v>
      </c>
      <c r="I46" s="3" t="s">
        <v>100</v>
      </c>
      <c r="L46" s="6">
        <f>3120776655/1000000</f>
        <v>3120.7766550000001</v>
      </c>
      <c r="M46" s="7">
        <f>1285728153/1000000</f>
        <v>1285.728153</v>
      </c>
      <c r="N46" s="25">
        <f>1522970837/1000000</f>
        <v>1522.9708370000001</v>
      </c>
      <c r="O46" s="7">
        <f t="shared" ref="O46" si="14">L46-M46-N46</f>
        <v>312.07766500000002</v>
      </c>
      <c r="P46" s="8">
        <f t="shared" ref="P46" si="15">(M46+N46)/L46</f>
        <v>0.90000000016021642</v>
      </c>
      <c r="Q46" s="8">
        <f t="shared" ref="Q46" si="16">O46/L46</f>
        <v>9.9999999839783471E-2</v>
      </c>
    </row>
    <row r="47" spans="1:18" s="3" customFormat="1" x14ac:dyDescent="0.2">
      <c r="A47" s="3">
        <v>39</v>
      </c>
      <c r="B47" s="4" t="s">
        <v>89</v>
      </c>
      <c r="C47" s="5">
        <v>45831</v>
      </c>
      <c r="D47" s="5">
        <v>45953</v>
      </c>
      <c r="E47" s="3">
        <v>122</v>
      </c>
      <c r="F47" s="3">
        <v>9</v>
      </c>
      <c r="H47" s="3" t="s">
        <v>99</v>
      </c>
      <c r="I47" s="3" t="s">
        <v>100</v>
      </c>
      <c r="L47" s="6">
        <f>255300000/1000000</f>
        <v>255.3</v>
      </c>
      <c r="N47" s="27">
        <f>178.7</f>
        <v>178.7</v>
      </c>
      <c r="O47" s="7">
        <f t="shared" ref="O47" si="17">L47-M47-N47</f>
        <v>76.600000000000023</v>
      </c>
      <c r="P47" s="8">
        <f t="shared" ref="P47" si="18">(M47+N47)/L47</f>
        <v>0.69996083039561297</v>
      </c>
      <c r="Q47" s="8">
        <f t="shared" ref="Q47" si="19">O47/L47</f>
        <v>0.30003916960438709</v>
      </c>
    </row>
    <row r="48" spans="1:18" s="3" customFormat="1" x14ac:dyDescent="0.2">
      <c r="A48" s="3">
        <v>40</v>
      </c>
      <c r="B48" s="4" t="s">
        <v>92</v>
      </c>
      <c r="C48" s="5">
        <v>45831</v>
      </c>
      <c r="D48" s="5">
        <v>46500</v>
      </c>
      <c r="E48" s="3">
        <v>669</v>
      </c>
      <c r="F48" s="3">
        <v>9</v>
      </c>
      <c r="H48" s="3" t="s">
        <v>99</v>
      </c>
      <c r="I48" s="3" t="s">
        <v>73</v>
      </c>
      <c r="L48" s="6">
        <f>1565647431/1000000</f>
        <v>1565.6474310000001</v>
      </c>
      <c r="N48" s="25">
        <f>1226004590/1000000</f>
        <v>1226.00459</v>
      </c>
      <c r="O48" s="7">
        <f t="shared" ref="O48" si="20">L48-M48-N48</f>
        <v>339.64284100000009</v>
      </c>
      <c r="P48" s="8">
        <f t="shared" ref="P48" si="21">(M48+N48)/L48</f>
        <v>0.78306556490622825</v>
      </c>
      <c r="Q48" s="8">
        <f t="shared" ref="Q48" si="22">O48/L48</f>
        <v>0.2169344350937718</v>
      </c>
      <c r="R48" s="8"/>
    </row>
    <row r="49" spans="1:18" s="3" customFormat="1" x14ac:dyDescent="0.2">
      <c r="A49" s="3">
        <v>41</v>
      </c>
      <c r="B49" s="4" t="s">
        <v>93</v>
      </c>
      <c r="C49" s="5">
        <v>45839</v>
      </c>
      <c r="D49" s="5">
        <v>46113</v>
      </c>
      <c r="E49" s="3">
        <v>274</v>
      </c>
      <c r="H49" s="3" t="s">
        <v>99</v>
      </c>
      <c r="I49" s="3" t="s">
        <v>67</v>
      </c>
      <c r="L49" s="6">
        <f>700121666/1000000</f>
        <v>700.121666</v>
      </c>
      <c r="N49" s="27">
        <f>420072989/1000000</f>
        <v>420.07298900000001</v>
      </c>
      <c r="O49" s="7">
        <f t="shared" ref="O49:O50" si="23">L49-M49-N49</f>
        <v>280.048677</v>
      </c>
      <c r="P49" s="8">
        <f t="shared" ref="P49" si="24">(M49+N49)/L49</f>
        <v>0.59999998485977435</v>
      </c>
      <c r="Q49" s="8">
        <f t="shared" ref="Q49" si="25">O49/L49</f>
        <v>0.40000001514022565</v>
      </c>
      <c r="R49" s="8"/>
    </row>
    <row r="50" spans="1:18" s="9" customFormat="1" x14ac:dyDescent="0.2">
      <c r="A50" s="9">
        <v>42</v>
      </c>
      <c r="B50" s="10" t="s">
        <v>101</v>
      </c>
      <c r="C50" s="11">
        <v>45778</v>
      </c>
      <c r="D50" s="11">
        <v>46143</v>
      </c>
      <c r="E50" s="9">
        <v>365</v>
      </c>
      <c r="F50" s="9">
        <v>111</v>
      </c>
      <c r="H50" s="9" t="s">
        <v>96</v>
      </c>
      <c r="I50" s="9" t="s">
        <v>95</v>
      </c>
      <c r="L50" s="9">
        <v>2417</v>
      </c>
      <c r="N50" s="25">
        <v>1875</v>
      </c>
      <c r="O50" s="12">
        <f t="shared" si="23"/>
        <v>542</v>
      </c>
      <c r="P50" s="13">
        <f t="shared" si="1"/>
        <v>0.77575506826644602</v>
      </c>
      <c r="Q50" s="13">
        <f t="shared" si="2"/>
        <v>0.224244931733554</v>
      </c>
      <c r="R50" s="13"/>
    </row>
    <row r="51" spans="1:18" s="9" customFormat="1" x14ac:dyDescent="0.2">
      <c r="A51" s="9">
        <v>43</v>
      </c>
      <c r="B51" s="10" t="s">
        <v>102</v>
      </c>
      <c r="C51" s="11">
        <v>45852</v>
      </c>
      <c r="D51" s="11">
        <v>46217</v>
      </c>
      <c r="E51" s="9">
        <v>365</v>
      </c>
      <c r="F51" s="9">
        <v>38</v>
      </c>
      <c r="H51" s="9" t="s">
        <v>99</v>
      </c>
      <c r="I51" s="9" t="s">
        <v>98</v>
      </c>
      <c r="L51" s="9">
        <v>920</v>
      </c>
      <c r="N51" s="26">
        <v>552</v>
      </c>
      <c r="O51" s="12">
        <f t="shared" si="0"/>
        <v>368</v>
      </c>
      <c r="P51" s="13">
        <f t="shared" si="1"/>
        <v>0.6</v>
      </c>
      <c r="Q51" s="13">
        <f t="shared" si="2"/>
        <v>0.4</v>
      </c>
      <c r="R51" s="13"/>
    </row>
    <row r="52" spans="1:18" s="9" customFormat="1" x14ac:dyDescent="0.2">
      <c r="A52" s="9">
        <v>44</v>
      </c>
      <c r="B52" s="10" t="s">
        <v>103</v>
      </c>
      <c r="C52" s="11">
        <v>45818</v>
      </c>
      <c r="D52" s="11">
        <v>46063</v>
      </c>
      <c r="E52" s="9">
        <v>245</v>
      </c>
      <c r="F52" s="9">
        <v>71</v>
      </c>
      <c r="H52" s="9" t="s">
        <v>96</v>
      </c>
      <c r="I52" s="9" t="s">
        <v>73</v>
      </c>
      <c r="L52" s="9">
        <v>197</v>
      </c>
      <c r="N52" s="25">
        <f>187207190/1000000</f>
        <v>187.20719</v>
      </c>
      <c r="O52" s="12">
        <f t="shared" si="0"/>
        <v>9.7928100000000029</v>
      </c>
      <c r="P52" s="13">
        <f t="shared" si="1"/>
        <v>0.95029030456852792</v>
      </c>
      <c r="Q52" s="13">
        <f t="shared" si="2"/>
        <v>4.9709695431472099E-2</v>
      </c>
      <c r="R52" s="13"/>
    </row>
    <row r="53" spans="1:18" s="9" customFormat="1" x14ac:dyDescent="0.2">
      <c r="A53" s="9">
        <v>45</v>
      </c>
      <c r="B53" s="10" t="s">
        <v>104</v>
      </c>
      <c r="C53" s="11">
        <v>45250</v>
      </c>
      <c r="D53" s="11">
        <v>46042</v>
      </c>
      <c r="E53" s="9">
        <v>645</v>
      </c>
      <c r="F53" s="9">
        <v>639</v>
      </c>
      <c r="H53" s="9" t="s">
        <v>96</v>
      </c>
      <c r="I53" s="9" t="s">
        <v>36</v>
      </c>
      <c r="L53" s="9">
        <v>2805</v>
      </c>
      <c r="M53" s="12">
        <f>1282848184/1000000</f>
        <v>1282.8481839999999</v>
      </c>
      <c r="N53" s="25">
        <v>1413</v>
      </c>
      <c r="O53" s="12">
        <f t="shared" si="0"/>
        <v>109.15181600000005</v>
      </c>
      <c r="P53" s="13">
        <f t="shared" si="1"/>
        <v>0.96108669661319068</v>
      </c>
      <c r="Q53" s="13">
        <f t="shared" si="2"/>
        <v>3.8913303386809289E-2</v>
      </c>
      <c r="R53" s="13"/>
    </row>
    <row r="54" spans="1:18" s="9" customFormat="1" x14ac:dyDescent="0.2">
      <c r="A54" s="9">
        <v>46</v>
      </c>
      <c r="B54" s="10" t="s">
        <v>105</v>
      </c>
      <c r="C54" s="11">
        <v>45845</v>
      </c>
      <c r="D54" s="11">
        <v>45846</v>
      </c>
      <c r="E54" s="9">
        <v>120</v>
      </c>
      <c r="F54" s="9">
        <v>43</v>
      </c>
      <c r="H54" s="9" t="s">
        <v>99</v>
      </c>
      <c r="I54" s="9" t="s">
        <v>106</v>
      </c>
      <c r="L54" s="14">
        <f>312307300/1000000</f>
        <v>312.3073</v>
      </c>
      <c r="N54" s="27">
        <v>296.60000000000002</v>
      </c>
      <c r="O54" s="12">
        <f t="shared" si="0"/>
        <v>15.707299999999975</v>
      </c>
      <c r="P54" s="13">
        <f t="shared" si="1"/>
        <v>0.94970562647751122</v>
      </c>
      <c r="Q54" s="13">
        <f t="shared" si="2"/>
        <v>5.0294373522488826E-2</v>
      </c>
      <c r="R54" s="13"/>
    </row>
    <row r="55" spans="1:18" s="15" customFormat="1" x14ac:dyDescent="0.2">
      <c r="A55" s="15">
        <v>47</v>
      </c>
      <c r="B55" s="16" t="s">
        <v>107</v>
      </c>
      <c r="C55" s="17">
        <v>45867</v>
      </c>
      <c r="D55" s="17">
        <v>45959</v>
      </c>
      <c r="E55" s="15">
        <v>92</v>
      </c>
      <c r="F55" s="15">
        <v>38</v>
      </c>
      <c r="H55" s="15" t="s">
        <v>99</v>
      </c>
      <c r="I55" s="15" t="s">
        <v>115</v>
      </c>
      <c r="L55" s="18">
        <v>2425</v>
      </c>
      <c r="N55" s="26">
        <v>727.6</v>
      </c>
      <c r="P55" s="19"/>
      <c r="Q55" s="19"/>
      <c r="R55" s="19"/>
    </row>
    <row r="56" spans="1:18" s="15" customFormat="1" x14ac:dyDescent="0.2">
      <c r="A56" s="15">
        <v>48</v>
      </c>
      <c r="B56" s="16" t="s">
        <v>108</v>
      </c>
      <c r="C56" s="17">
        <v>45820</v>
      </c>
      <c r="D56" s="17">
        <v>46430</v>
      </c>
      <c r="E56" s="15">
        <v>976</v>
      </c>
      <c r="F56" s="15">
        <v>450</v>
      </c>
      <c r="H56" s="15" t="s">
        <v>96</v>
      </c>
      <c r="I56" s="15" t="s">
        <v>47</v>
      </c>
      <c r="L56" s="18">
        <v>9902</v>
      </c>
      <c r="M56" s="15">
        <v>6327</v>
      </c>
      <c r="N56" s="26">
        <v>724</v>
      </c>
    </row>
    <row r="57" spans="1:18" s="15" customFormat="1" x14ac:dyDescent="0.2">
      <c r="A57" s="15">
        <v>49</v>
      </c>
      <c r="B57" s="20" t="s">
        <v>109</v>
      </c>
      <c r="C57" s="17">
        <v>45910</v>
      </c>
      <c r="D57" s="17">
        <v>46032</v>
      </c>
      <c r="E57" s="15">
        <v>488</v>
      </c>
      <c r="F57" s="15">
        <v>359</v>
      </c>
      <c r="H57" s="15" t="s">
        <v>96</v>
      </c>
      <c r="I57" s="15" t="s">
        <v>100</v>
      </c>
      <c r="L57" s="21">
        <v>3121</v>
      </c>
      <c r="N57" s="26"/>
    </row>
    <row r="58" spans="1:18" s="15" customFormat="1" x14ac:dyDescent="0.2">
      <c r="A58" s="15">
        <v>50</v>
      </c>
      <c r="B58" s="20" t="s">
        <v>110</v>
      </c>
      <c r="C58" s="17">
        <v>45883</v>
      </c>
      <c r="D58" s="17">
        <v>46415</v>
      </c>
      <c r="E58" s="15">
        <v>533</v>
      </c>
      <c r="F58" s="15">
        <v>22</v>
      </c>
      <c r="H58" s="15" t="s">
        <v>99</v>
      </c>
      <c r="I58" s="15" t="s">
        <v>116</v>
      </c>
      <c r="L58" s="21">
        <v>26151</v>
      </c>
      <c r="N58" s="26">
        <v>10.268000000000001</v>
      </c>
    </row>
    <row r="59" spans="1:18" s="15" customFormat="1" x14ac:dyDescent="0.2">
      <c r="A59" s="15">
        <v>51</v>
      </c>
      <c r="B59" s="15" t="s">
        <v>111</v>
      </c>
      <c r="C59" s="17">
        <v>45895</v>
      </c>
      <c r="D59" s="17">
        <v>46446</v>
      </c>
      <c r="E59" s="15">
        <v>549</v>
      </c>
      <c r="F59" s="15">
        <v>8</v>
      </c>
      <c r="H59" s="15" t="s">
        <v>99</v>
      </c>
      <c r="I59" s="15" t="s">
        <v>73</v>
      </c>
      <c r="L59" s="21">
        <v>1547</v>
      </c>
      <c r="N59" s="26"/>
    </row>
    <row r="60" spans="1:18" s="15" customFormat="1" x14ac:dyDescent="0.2">
      <c r="A60" s="15">
        <v>52</v>
      </c>
      <c r="B60" s="15" t="s">
        <v>112</v>
      </c>
      <c r="C60" s="17">
        <v>45901</v>
      </c>
      <c r="D60" s="17">
        <v>46173</v>
      </c>
      <c r="E60" s="15">
        <v>273</v>
      </c>
      <c r="F60" s="15">
        <v>4</v>
      </c>
      <c r="H60" s="15" t="s">
        <v>99</v>
      </c>
      <c r="I60" s="15" t="s">
        <v>106</v>
      </c>
      <c r="L60" s="21">
        <v>292</v>
      </c>
      <c r="N60" s="26">
        <v>194.5</v>
      </c>
    </row>
    <row r="61" spans="1:18" s="15" customFormat="1" x14ac:dyDescent="0.2">
      <c r="A61" s="15">
        <v>53</v>
      </c>
      <c r="B61" s="15" t="s">
        <v>113</v>
      </c>
      <c r="C61" s="17">
        <v>45901</v>
      </c>
      <c r="D61" s="17">
        <v>46082</v>
      </c>
      <c r="E61" s="15">
        <v>181</v>
      </c>
      <c r="F61" s="15">
        <v>4</v>
      </c>
      <c r="H61" s="15" t="s">
        <v>99</v>
      </c>
      <c r="I61" s="15" t="s">
        <v>106</v>
      </c>
      <c r="L61" s="21">
        <v>2527</v>
      </c>
      <c r="N61" s="26">
        <v>1638</v>
      </c>
    </row>
    <row r="62" spans="1:18" s="15" customFormat="1" x14ac:dyDescent="0.2">
      <c r="A62" s="15">
        <v>54</v>
      </c>
      <c r="B62" s="15" t="s">
        <v>114</v>
      </c>
      <c r="C62" s="17">
        <v>45478</v>
      </c>
      <c r="D62" s="17">
        <v>46447</v>
      </c>
      <c r="E62" s="15">
        <v>969</v>
      </c>
      <c r="F62" s="15">
        <v>427</v>
      </c>
      <c r="H62" s="15" t="s">
        <v>96</v>
      </c>
      <c r="I62" s="15" t="s">
        <v>117</v>
      </c>
      <c r="L62" s="21">
        <v>165987</v>
      </c>
      <c r="N62" s="26"/>
    </row>
    <row r="63" spans="1:18" x14ac:dyDescent="0.2">
      <c r="A63" s="2">
        <v>55</v>
      </c>
    </row>
    <row r="64" spans="1:18" x14ac:dyDescent="0.2">
      <c r="A64" s="2">
        <v>56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GIFARI ALGHANI</cp:lastModifiedBy>
  <dcterms:created xsi:type="dcterms:W3CDTF">2025-05-15T04:38:44Z</dcterms:created>
  <dcterms:modified xsi:type="dcterms:W3CDTF">2025-09-17T06:53:07Z</dcterms:modified>
</cp:coreProperties>
</file>