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MA" sheetId="1" r:id="rId4"/>
    <sheet state="visible" name="SM" sheetId="2" r:id="rId5"/>
    <sheet state="visible" name="host_ftl" sheetId="3" r:id="rId6"/>
    <sheet state="visible" name="pthash" sheetId="4" r:id="rId7"/>
    <sheet state="visible" name="ftl_v4 breakdown" sheetId="5" r:id="rId8"/>
    <sheet state="visible" name="ftl_parallel" sheetId="6" r:id="rId9"/>
    <sheet state="visible" name="partition" sheetId="7" r:id="rId10"/>
  </sheets>
  <definedNames/>
  <calcPr/>
</workbook>
</file>

<file path=xl/sharedStrings.xml><?xml version="1.0" encoding="utf-8"?>
<sst xmlns="http://schemas.openxmlformats.org/spreadsheetml/2006/main" count="324" uniqueCount="121">
  <si>
    <t>理论上统计的时间包括：DMA 参数（size、dma_address）到DPU+DPU DMA数据 + DPU将结果(前4字节数据)DMA回主机</t>
  </si>
  <si>
    <t>dma_width（B）</t>
  </si>
  <si>
    <t>num</t>
  </si>
  <si>
    <t>Total_size(MB)</t>
  </si>
  <si>
    <t>average_letency (us)</t>
  </si>
  <si>
    <t>理论上统计的时间包括：DMA 参数（size、dma_address）到DPU+（DPU DMA数据）* r + DPU将结果(前4字节数据)DMA回主机</t>
  </si>
  <si>
    <t>dma_width=16</t>
  </si>
  <si>
    <t>dma_width=512</t>
  </si>
  <si>
    <t>dma_round</t>
  </si>
  <si>
    <t>average_latency</t>
  </si>
  <si>
    <t>斜率</t>
  </si>
  <si>
    <t>截距(其他固定时间)</t>
  </si>
  <si>
    <t>dma_round=100</t>
  </si>
  <si>
    <t>actual_latency(us)</t>
  </si>
  <si>
    <t>throughput(MB/s)</t>
  </si>
  <si>
    <t>dma_round=100, thread=10, num=100000</t>
  </si>
  <si>
    <t>dma_round=100, thread=100, num=100000</t>
  </si>
  <si>
    <t>dma_width</t>
  </si>
  <si>
    <t>thread</t>
  </si>
  <si>
    <t>tail_latency</t>
  </si>
  <si>
    <t>(t-a)/a</t>
  </si>
  <si>
    <t>dma_latency</t>
  </si>
  <si>
    <t>K</t>
  </si>
  <si>
    <t>I</t>
  </si>
  <si>
    <t>width</t>
  </si>
  <si>
    <t>round</t>
  </si>
  <si>
    <t>K(dma_latency)</t>
  </si>
  <si>
    <t>sm_latency</t>
  </si>
  <si>
    <t>sm_throughput</t>
  </si>
  <si>
    <t>dma_throughput</t>
  </si>
  <si>
    <t>n=</t>
  </si>
  <si>
    <t>n/2=</t>
  </si>
  <si>
    <t>bucket</t>
  </si>
  <si>
    <t>dma_latency(2KB)</t>
  </si>
  <si>
    <t>dma_latency(1KB)</t>
  </si>
  <si>
    <t>2KB/1KB</t>
  </si>
  <si>
    <t>FTL_LookUP</t>
  </si>
  <si>
    <t>throughput(1KB)</t>
  </si>
  <si>
    <t>measure SM_Latency with different width</t>
  </si>
  <si>
    <t>SML_LT</t>
  </si>
  <si>
    <t>MAX_SM_ST_SIZE</t>
  </si>
  <si>
    <t>1MB</t>
  </si>
  <si>
    <t>sml_lt_load_size</t>
  </si>
  <si>
    <t>16B</t>
  </si>
  <si>
    <t>AL_16B</t>
  </si>
  <si>
    <t>EL_16B</t>
  </si>
  <si>
    <t>average_K</t>
  </si>
  <si>
    <t>Average_I</t>
  </si>
  <si>
    <t>sm_ld_time(us)</t>
  </si>
  <si>
    <t>32B</t>
  </si>
  <si>
    <t>AL_32B</t>
  </si>
  <si>
    <t>EL_32B</t>
  </si>
  <si>
    <t>Average_K</t>
  </si>
  <si>
    <t>Averave_I</t>
  </si>
  <si>
    <t>64B</t>
  </si>
  <si>
    <t>AL_64B</t>
  </si>
  <si>
    <t>K_90</t>
  </si>
  <si>
    <t>I_90</t>
  </si>
  <si>
    <t>EL_64B</t>
  </si>
  <si>
    <t>measure SM_Latency with different parallelism</t>
  </si>
  <si>
    <t>K(sm_latency)</t>
  </si>
  <si>
    <t>avg_latency(us)</t>
  </si>
  <si>
    <t>FIO performance test while host_ftl</t>
  </si>
  <si>
    <t>Pure FIO rand_read</t>
  </si>
  <si>
    <t>(fio --name=readread-test --ioengine=libaio --rw=randread --bs=4k --size=1G --runtime=60 --time_based --numjobs=1 --output test_log</t>
  </si>
  <si>
    <t>bs</t>
  </si>
  <si>
    <t>4k</t>
  </si>
  <si>
    <t>iodepth</t>
  </si>
  <si>
    <t>numjobs</t>
  </si>
  <si>
    <t>BW(MB/s)</t>
  </si>
  <si>
    <t>kIOPS</t>
  </si>
  <si>
    <t>io_depth=16-&gt;</t>
  </si>
  <si>
    <t xml:space="preserve"> FIO rand_read while host_ftl</t>
  </si>
  <si>
    <t>numjobs(threads for ftl_query)</t>
  </si>
  <si>
    <t>num_keys</t>
  </si>
  <si>
    <t>num_buckets(num_pilots)</t>
  </si>
  <si>
    <t>dma_buf_list</t>
  </si>
  <si>
    <t>operation</t>
  </si>
  <si>
    <t>checkpoint</t>
  </si>
  <si>
    <t>original</t>
  </si>
  <si>
    <t>no_compress</t>
  </si>
  <si>
    <t>get_pa_dpu</t>
  </si>
  <si>
    <t>copy_data_to_bufout</t>
  </si>
  <si>
    <t>cal_data_addr_sdb</t>
  </si>
  <si>
    <t>cal_pthash</t>
  </si>
  <si>
    <t>dma_pthash</t>
  </si>
  <si>
    <t>cal_pthash_addr_sdb</t>
  </si>
  <si>
    <t>cal_learned_index</t>
  </si>
  <si>
    <t>max_lva2pa_pair(2^32)</t>
  </si>
  <si>
    <t>lva2pa_pairs</t>
  </si>
  <si>
    <t>Index_size(MB)</t>
  </si>
  <si>
    <t>sub_dma_num</t>
  </si>
  <si>
    <t>sub_dma_size(KB)</t>
  </si>
  <si>
    <t>batch=100, n=100</t>
  </si>
  <si>
    <t>batch=1000, n=100</t>
  </si>
  <si>
    <t>不排除其他时间</t>
  </si>
  <si>
    <t>ftl_lookup</t>
  </si>
  <si>
    <t>Latency increases for both DMA and FTL queries as number of threads increases
The proportion of DMA in FTL query latency is gradually increasing</t>
  </si>
  <si>
    <t>eulor_x86</t>
  </si>
  <si>
    <t>ftl_dev_partition</t>
  </si>
  <si>
    <t>6ecfef8063ae7fb2ccbb4d72167fdeeea447fab7</t>
  </si>
  <si>
    <t>/home/zhu/Hi1823chip_solutin-master/bin/tools/linux/hinicadmdfx3 ftl -i hinicg -d /home/zhu/product/ft1/build/data_s -o parallel -t 384</t>
  </si>
  <si>
    <t>data_s</t>
  </si>
  <si>
    <t xml:space="preserve">workload: </t>
  </si>
  <si>
    <t>data</t>
  </si>
  <si>
    <t xml:space="preserve">dma_width: </t>
  </si>
  <si>
    <t>1KB</t>
  </si>
  <si>
    <t>single-thread</t>
  </si>
  <si>
    <t>threads</t>
  </si>
  <si>
    <t>partition_factor</t>
  </si>
  <si>
    <t>partition_pthash_ratio</t>
  </si>
  <si>
    <t>epsilon</t>
  </si>
  <si>
    <t>lookup_time</t>
  </si>
  <si>
    <t>L1_index(KB)</t>
  </si>
  <si>
    <t>增加partition pthash的比例
第一层索引所需要的空间逐渐减少
查询时间变化微小：
dma次数增加(仅当key在partition_pthash且非第一个分片中)</t>
  </si>
  <si>
    <t>多线程下
增多partition_pthash的比例，增加分片数量
查询时间增加变多
DMA对性能的影响增大</t>
  </si>
  <si>
    <t>none</t>
  </si>
  <si>
    <t>.6.86</t>
  </si>
  <si>
    <r>
      <rPr>
        <rFont val="Arial"/>
        <color theme="1"/>
        <sz val="13.0"/>
      </rPr>
      <t xml:space="preserve">所有pthash都转换为partition
随着第一层索引进一步减小，每个partition_pthash中分片数量增加
第一层索引进一步减小
DMA次数加一(key在partition_pthash的非第一个分片的概率增加)
</t>
    </r>
    <r>
      <rPr>
        <rFont val="Arial"/>
        <b/>
        <color theme="1"/>
        <sz val="13.0"/>
      </rPr>
      <t>build时间随着pthash增大而上升</t>
    </r>
  </si>
  <si>
    <t>9b662e7cf9546de395cac5cf3e7e2676df0c1409</t>
  </si>
  <si>
    <t>/home/zhu/Hi1823_chip_solution-master/bin/tools/linux/hinicadmdfx3 ftl -i hinic0 /home/zhu/product/ftl/build/data -o parallel -n 100 -t 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</si>
</sst>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980000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sz val="11.0"/>
      <color rgb="FF000000"/>
      <name val="等线"/>
    </font>
    <font>
      <sz val="18.0"/>
      <color theme="1"/>
      <name val="Arial"/>
      <scheme val="minor"/>
    </font>
    <font>
      <b/>
      <sz val="12.0"/>
      <color rgb="FF980000"/>
      <name val="Arial"/>
      <scheme val="minor"/>
    </font>
    <font>
      <sz val="15.0"/>
      <color theme="1"/>
      <name val="Arial"/>
      <scheme val="minor"/>
    </font>
    <font>
      <sz val="12.0"/>
      <color theme="1"/>
      <name val="Arial"/>
      <scheme val="minor"/>
    </font>
    <font/>
    <font>
      <b/>
      <color rgb="FF980000"/>
      <name val="Arial"/>
    </font>
    <font>
      <b/>
      <color rgb="FF0000FF"/>
      <name val="Arial"/>
      <scheme val="minor"/>
    </font>
    <font>
      <sz val="13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3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1" numFmtId="0" xfId="0" applyBorder="1" applyFont="1"/>
    <xf borderId="2" fillId="0" fontId="3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0" fillId="0" fontId="10" numFmtId="0" xfId="0" applyAlignment="1" applyFont="1">
      <alignment horizontal="center" readingOrder="0" shrinkToFit="0" wrapText="1"/>
    </xf>
    <xf borderId="0" fillId="2" fontId="1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1" fillId="0" fontId="1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4" fillId="0" fontId="14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6" fillId="0" fontId="11" numFmtId="0" xfId="0" applyBorder="1" applyFont="1"/>
    <xf borderId="1" fillId="0" fontId="1" numFmtId="0" xfId="0" applyAlignment="1" applyBorder="1" applyFont="1">
      <alignment horizontal="center" vertical="center"/>
    </xf>
    <xf borderId="7" fillId="0" fontId="11" numFmtId="0" xfId="0" applyBorder="1" applyFont="1"/>
    <xf borderId="8" fillId="0" fontId="11" numFmtId="0" xfId="0" applyBorder="1" applyFont="1"/>
    <xf borderId="9" fillId="0" fontId="11" numFmtId="0" xfId="0" applyBorder="1" applyFont="1"/>
    <xf borderId="1" fillId="0" fontId="13" numFmtId="0" xfId="0" applyAlignment="1" applyBorder="1" applyFont="1">
      <alignment horizontal="center" vertical="center"/>
    </xf>
    <xf borderId="10" fillId="0" fontId="11" numFmtId="0" xfId="0" applyBorder="1" applyFont="1"/>
    <xf borderId="11" fillId="0" fontId="11" numFmtId="0" xfId="0" applyBorder="1" applyFont="1"/>
    <xf borderId="12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dw=16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DMA!$A$30:$A$37</c:f>
            </c:strRef>
          </c:cat>
          <c:val>
            <c:numRef>
              <c:f>DMA!$B$30:$B$37</c:f>
              <c:numCache/>
            </c:numRef>
          </c:val>
          <c:smooth val="0"/>
        </c:ser>
        <c:ser>
          <c:idx val="1"/>
          <c:order val="1"/>
          <c:tx>
            <c:v>dw=512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DMA!$A$30:$A$37</c:f>
            </c:strRef>
          </c:cat>
          <c:val>
            <c:numRef>
              <c:f>DMA!$E$30:$E$38</c:f>
              <c:numCache/>
            </c:numRef>
          </c:val>
          <c:smooth val="0"/>
        </c:ser>
        <c:axId val="640530945"/>
        <c:axId val="1118772761"/>
      </c:lineChart>
      <c:catAx>
        <c:axId val="640530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dma_round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772761"/>
      </c:catAx>
      <c:valAx>
        <c:axId val="1118772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530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thread=192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DMA!$T$105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DMA!$S$106:$S$111</c:f>
            </c:strRef>
          </c:cat>
          <c:val>
            <c:numRef>
              <c:f>DMA!$T$106:$T$111</c:f>
              <c:numCache/>
            </c:numRef>
          </c:val>
          <c:smooth val="0"/>
        </c:ser>
        <c:axId val="1816681163"/>
        <c:axId val="1655723479"/>
      </c:lineChart>
      <c:catAx>
        <c:axId val="1816681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723479"/>
      </c:catAx>
      <c:valAx>
        <c:axId val="1655723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681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thread=384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DMA!$W$105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DMA!$V$106:$V$111</c:f>
            </c:strRef>
          </c:cat>
          <c:val>
            <c:numRef>
              <c:f>DMA!$W$106:$W$111</c:f>
              <c:numCache/>
            </c:numRef>
          </c:val>
          <c:smooth val="0"/>
        </c:ser>
        <c:axId val="1903121362"/>
        <c:axId val="1827061875"/>
      </c:lineChart>
      <c:catAx>
        <c:axId val="1903121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061875"/>
      </c:catAx>
      <c:valAx>
        <c:axId val="1827061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121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sm_latency  vs dma_latency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DMA!$B$127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DMA!$A$128:$A$135</c:f>
            </c:strRef>
          </c:cat>
          <c:val>
            <c:numRef>
              <c:f>DMA!$B$128:$B$135</c:f>
              <c:numCache/>
            </c:numRef>
          </c:val>
          <c:smooth val="0"/>
        </c:ser>
        <c:ser>
          <c:idx val="1"/>
          <c:order val="1"/>
          <c:tx>
            <c:strRef>
              <c:f>DMA!$C$127</c:f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DMA!$A$128:$A$135</c:f>
            </c:strRef>
          </c:cat>
          <c:val>
            <c:numRef>
              <c:f>DMA!$C$128:$C$135</c:f>
              <c:numCache/>
            </c:numRef>
          </c:val>
          <c:smooth val="0"/>
        </c:ser>
        <c:axId val="567751416"/>
        <c:axId val="1855186399"/>
      </c:lineChart>
      <c:catAx>
        <c:axId val="56775141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parallelism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186399"/>
      </c:catAx>
      <c:valAx>
        <c:axId val="1855186399"/>
        <c:scaling>
          <c:orientation val="minMax"/>
          <c:min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751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dma_latency 和dma_throughput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DMA!$C$127</c:f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DMA!$A$128:$A$135</c:f>
            </c:strRef>
          </c:cat>
          <c:val>
            <c:numRef>
              <c:f>DMA!$C$128:$C$135</c:f>
              <c:numCache/>
            </c:numRef>
          </c:val>
          <c:smooth val="0"/>
        </c:ser>
        <c:axId val="689431368"/>
        <c:axId val="1181330469"/>
      </c:lineChart>
      <c:catAx>
        <c:axId val="68943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parallelism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330469"/>
      </c:catAx>
      <c:valAx>
        <c:axId val="1181330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431368"/>
      </c:valAx>
      <c:barChart>
        <c:barDir val="col"/>
        <c:ser>
          <c:idx val="1"/>
          <c:order val="1"/>
          <c:tx>
            <c:strRef>
              <c:f>DMA!$E$127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DMA!$A$128:$A$135</c:f>
            </c:strRef>
          </c:cat>
          <c:val>
            <c:numRef>
              <c:f>DMA!$E$128:$E$135</c:f>
              <c:numCache/>
            </c:numRef>
          </c:val>
        </c:ser>
        <c:axId val="213759533"/>
        <c:axId val="125061810"/>
      </c:barChart>
      <c:catAx>
        <c:axId val="21375953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61810"/>
      </c:catAx>
      <c:valAx>
        <c:axId val="1250618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throughput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595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SM measured 'average_latency' from host side: L= other_time + round * sm_ld_time, and 'estimate_latency' with fitting other_time and sm_ld_time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SM!$B$8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SM!$A$9:$A$18</c:f>
            </c:strRef>
          </c:cat>
          <c:val>
            <c:numRef>
              <c:f>SM!$B$9:$B$18</c:f>
              <c:numCache/>
            </c:numRef>
          </c:val>
          <c:smooth val="0"/>
        </c:ser>
        <c:ser>
          <c:idx val="1"/>
          <c:order val="1"/>
          <c:tx>
            <c:strRef>
              <c:f>SM!$C$8</c:f>
            </c:strRef>
          </c:tx>
          <c:spPr>
            <a:ln cmpd="sng">
              <a:solidFill>
                <a:srgbClr val="98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SM!$A$9:$A$18</c:f>
            </c:strRef>
          </c:cat>
          <c:val>
            <c:numRef>
              <c:f>SM!$C$9:$C$18</c:f>
              <c:numCache/>
            </c:numRef>
          </c:val>
          <c:smooth val="0"/>
        </c:ser>
        <c:axId val="1370230567"/>
        <c:axId val="541086932"/>
      </c:lineChart>
      <c:catAx>
        <c:axId val="1370230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086932"/>
      </c:catAx>
      <c:valAx>
        <c:axId val="541086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latency_host_side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230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 measured 'average_latency' from host side: L= other_time + round * sm_ld_time, and 'estimate_latency' with fitting other_time and sm_ld_time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SM!$B$8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SM!$A$9:$A$18</c:f>
            </c:strRef>
          </c:cat>
          <c:val>
            <c:numRef>
              <c:f>SM!$B$9:$B$18</c:f>
              <c:numCache/>
            </c:numRef>
          </c:val>
          <c:smooth val="0"/>
        </c:ser>
        <c:ser>
          <c:idx val="1"/>
          <c:order val="1"/>
          <c:tx>
            <c:strRef>
              <c:f>SM!$C$8</c:f>
            </c:strRef>
          </c:tx>
          <c:spPr>
            <a:ln cmpd="sng">
              <a:solidFill>
                <a:srgbClr val="98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SM!$A$9:$A$18</c:f>
            </c:strRef>
          </c:cat>
          <c:val>
            <c:numRef>
              <c:f>SM!$C$9:$C$18</c:f>
              <c:numCache/>
            </c:numRef>
          </c:val>
          <c:smooth val="0"/>
        </c:ser>
        <c:ser>
          <c:idx val="2"/>
          <c:order val="2"/>
          <c:tx>
            <c:strRef>
              <c:f>SM!$G$25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SM!$A$9:$A$18</c:f>
            </c:strRef>
          </c:cat>
          <c:val>
            <c:numRef>
              <c:f>SM!$G$26:$G$35</c:f>
              <c:numCache/>
            </c:numRef>
          </c:val>
          <c:smooth val="0"/>
        </c:ser>
        <c:ser>
          <c:idx val="3"/>
          <c:order val="3"/>
          <c:tx>
            <c:strRef>
              <c:f>SM!$L$25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SM!$A$9:$A$18</c:f>
            </c:strRef>
          </c:cat>
          <c:val>
            <c:numRef>
              <c:f>SM!$L$26:$L$35</c:f>
              <c:numCache/>
            </c:numRef>
          </c:val>
          <c:smooth val="0"/>
        </c:ser>
        <c:ser>
          <c:idx val="4"/>
          <c:order val="4"/>
          <c:tx>
            <c:strRef>
              <c:f>SM!$B$38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SM!$A$9:$A$18</c:f>
            </c:strRef>
          </c:cat>
          <c:val>
            <c:numRef>
              <c:f>SM!$B$39:$B$48</c:f>
              <c:numCache/>
            </c:numRef>
          </c:val>
          <c:smooth val="0"/>
        </c:ser>
        <c:ser>
          <c:idx val="5"/>
          <c:order val="5"/>
          <c:tx>
            <c:strRef>
              <c:f>SM!$I$38</c:f>
            </c:strRef>
          </c:tx>
          <c:spPr>
            <a:ln cmpd="sng">
              <a:solidFill>
                <a:srgbClr val="FF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SM!$A$9:$A$18</c:f>
            </c:strRef>
          </c:cat>
          <c:val>
            <c:numRef>
              <c:f>SM!$I$39:$I$48</c:f>
              <c:numCache/>
            </c:numRef>
          </c:val>
          <c:smooth val="0"/>
        </c:ser>
        <c:axId val="152921897"/>
        <c:axId val="385999870"/>
      </c:lineChart>
      <c:catAx>
        <c:axId val="152921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999870"/>
      </c:catAx>
      <c:valAx>
        <c:axId val="38599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latency_host_side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21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dma vs sm in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SM!$B$73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SM!$A$74:$A$81</c:f>
            </c:strRef>
          </c:cat>
          <c:val>
            <c:numRef>
              <c:f>SM!$B$74:$B$81</c:f>
              <c:numCache/>
            </c:numRef>
          </c:val>
          <c:smooth val="0"/>
        </c:ser>
        <c:ser>
          <c:idx val="1"/>
          <c:order val="1"/>
          <c:tx>
            <c:strRef>
              <c:f>SM!$E$59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SM!$A$74:$A$81</c:f>
            </c:strRef>
          </c:cat>
          <c:val>
            <c:numRef>
              <c:f>SM!$E$60:$E$67</c:f>
              <c:numCache/>
            </c:numRef>
          </c:val>
          <c:smooth val="0"/>
        </c:ser>
        <c:axId val="811089650"/>
        <c:axId val="600122382"/>
      </c:lineChart>
      <c:catAx>
        <c:axId val="811089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122382"/>
      </c:catAx>
      <c:valAx>
        <c:axId val="600122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dma_latency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089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thread=10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SM!$K$88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SM!$J$89:$J$96</c:f>
            </c:strRef>
          </c:cat>
          <c:val>
            <c:numRef>
              <c:f>SM!$K$89:$K$96</c:f>
              <c:numCache/>
            </c:numRef>
          </c:val>
          <c:smooth val="0"/>
        </c:ser>
        <c:axId val="1924840379"/>
        <c:axId val="4743256"/>
      </c:lineChart>
      <c:catAx>
        <c:axId val="1924840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3256"/>
      </c:catAx>
      <c:valAx>
        <c:axId val="4743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840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SM!$B$106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SM!$A$107:$A$114</c:f>
            </c:strRef>
          </c:cat>
          <c:val>
            <c:numRef>
              <c:f>SM!$B$107:$B$114</c:f>
              <c:numCache/>
            </c:numRef>
          </c:val>
          <c:smooth val="0"/>
        </c:ser>
        <c:axId val="1572976120"/>
        <c:axId val="1928663704"/>
      </c:lineChart>
      <c:catAx>
        <c:axId val="157297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663704"/>
      </c:catAx>
      <c:valAx>
        <c:axId val="1928663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976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SM!$F$106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SM!$E$107:$E$114</c:f>
            </c:strRef>
          </c:cat>
          <c:val>
            <c:numRef>
              <c:f>SM!$F$107:$F$114</c:f>
              <c:numCache/>
            </c:numRef>
          </c:val>
          <c:smooth val="0"/>
        </c:ser>
        <c:axId val="1679457256"/>
        <c:axId val="755074508"/>
      </c:lineChart>
      <c:catAx>
        <c:axId val="167945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074508"/>
      </c:catAx>
      <c:valAx>
        <c:axId val="755074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457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DMA read from DPU to Host: latency and throughput</a:t>
            </a:r>
          </a:p>
        </c:rich>
      </c:tx>
      <c:layout>
        <c:manualLayout>
          <c:xMode val="edge"/>
          <c:yMode val="edge"/>
          <c:x val="0.03238304093567252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actual_latency (us)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DMA!$A$43:$A$52</c:f>
            </c:strRef>
          </c:cat>
          <c:val>
            <c:numRef>
              <c:f>DMA!$C$43:$C$52</c:f>
              <c:numCache/>
            </c:numRef>
          </c:val>
          <c:smooth val="0"/>
        </c:ser>
        <c:axId val="678280557"/>
        <c:axId val="2025736900"/>
      </c:lineChart>
      <c:catAx>
        <c:axId val="678280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dma_width（B）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736900"/>
      </c:catAx>
      <c:valAx>
        <c:axId val="2025736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latency_dpu_side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280557"/>
      </c:valAx>
      <c:barChart>
        <c:barDir val="col"/>
        <c:ser>
          <c:idx val="1"/>
          <c:order val="1"/>
          <c:tx>
            <c:v>throughput (MB/s)</c:v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cat>
            <c:strRef>
              <c:f>DMA!$A$43:$A$52</c:f>
            </c:strRef>
          </c:cat>
          <c:val>
            <c:numRef>
              <c:f>DMA!$D$43:$D$52</c:f>
              <c:numCache/>
            </c:numRef>
          </c:val>
        </c:ser>
        <c:axId val="310290010"/>
        <c:axId val="873854079"/>
      </c:barChart>
      <c:catAx>
        <c:axId val="3102900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854079"/>
      </c:catAx>
      <c:valAx>
        <c:axId val="873854079"/>
        <c:scaling>
          <c:orientation val="minMax"/>
          <c:max val="10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2900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thread=12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SM!$J$106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SM!$I$107:$I$114</c:f>
            </c:strRef>
          </c:cat>
          <c:val>
            <c:numRef>
              <c:f>SM!$J$107:$J$114</c:f>
              <c:numCache/>
            </c:numRef>
          </c:val>
          <c:smooth val="0"/>
        </c:ser>
        <c:axId val="1269518187"/>
        <c:axId val="1310953819"/>
      </c:lineChart>
      <c:catAx>
        <c:axId val="1269518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953819"/>
      </c:catAx>
      <c:valAx>
        <c:axId val="1310953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518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SM!$M$106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SM!$L$107:$L$115</c:f>
            </c:strRef>
          </c:cat>
          <c:val>
            <c:numRef>
              <c:f>SM!$M$107:$M$115</c:f>
              <c:numCache/>
            </c:numRef>
          </c:val>
          <c:smooth val="0"/>
        </c:ser>
        <c:axId val="953699346"/>
        <c:axId val="446914571"/>
      </c:lineChart>
      <c:catAx>
        <c:axId val="953699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914571"/>
      </c:catAx>
      <c:valAx>
        <c:axId val="446914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699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SM!$P$106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SM!$O$107:$O$117</c:f>
            </c:strRef>
          </c:cat>
          <c:val>
            <c:numRef>
              <c:f>SM!$P$107:$P$117</c:f>
              <c:numCache/>
            </c:numRef>
          </c:val>
          <c:smooth val="0"/>
        </c:ser>
        <c:axId val="1569789385"/>
        <c:axId val="417279841"/>
      </c:lineChart>
      <c:catAx>
        <c:axId val="1569789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279841"/>
      </c:catAx>
      <c:valAx>
        <c:axId val="417279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789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thread=96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SM!$S$106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SM!$R$107:$R$117</c:f>
            </c:strRef>
          </c:cat>
          <c:val>
            <c:numRef>
              <c:f>SM!$S$107:$S$117</c:f>
              <c:numCache/>
            </c:numRef>
          </c:val>
          <c:smooth val="0"/>
        </c:ser>
        <c:axId val="1125207140"/>
        <c:axId val="1065561822"/>
      </c:lineChart>
      <c:catAx>
        <c:axId val="1125207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561822"/>
      </c:catAx>
      <c:valAx>
        <c:axId val="1065561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207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thread=192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SM!$V$106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SM!$U$107:$U$117</c:f>
            </c:strRef>
          </c:cat>
          <c:val>
            <c:numRef>
              <c:f>SM!$V$107:$V$117</c:f>
              <c:numCache/>
            </c:numRef>
          </c:val>
          <c:smooth val="0"/>
        </c:ser>
        <c:axId val="2114386374"/>
        <c:axId val="671625336"/>
      </c:lineChart>
      <c:catAx>
        <c:axId val="2114386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625336"/>
      </c:catAx>
      <c:valAx>
        <c:axId val="671625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386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thread=384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SM!$Y$106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SM!$X$107:$X$117</c:f>
            </c:strRef>
          </c:cat>
          <c:val>
            <c:numRef>
              <c:f>SM!$Y$107:$Y$117</c:f>
              <c:numCache/>
            </c:numRef>
          </c:val>
          <c:smooth val="0"/>
        </c:ser>
        <c:axId val="185313841"/>
        <c:axId val="652795003"/>
      </c:lineChart>
      <c:catAx>
        <c:axId val="185313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795003"/>
      </c:catAx>
      <c:valAx>
        <c:axId val="652795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13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sm_latency与thread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SM!$B$120</c:f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SM!$A$121:$A$128</c:f>
            </c:strRef>
          </c:cat>
          <c:val>
            <c:numRef>
              <c:f>SM!$B$121:$B$128</c:f>
              <c:numCache/>
            </c:numRef>
          </c:val>
          <c:smooth val="0"/>
        </c:ser>
        <c:axId val="1640841689"/>
        <c:axId val="982440851"/>
      </c:lineChart>
      <c:catAx>
        <c:axId val="1640841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440851"/>
      </c:catAx>
      <c:valAx>
        <c:axId val="982440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sm_latency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841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Host-side FTL bare performance test: varying number of simultaneous requests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host_ftl!$B$4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host_ftl!$A$5:$A$12</c:f>
            </c:strRef>
          </c:cat>
          <c:val>
            <c:numRef>
              <c:f>host_ftl!$B$5:$B$12</c:f>
              <c:numCache/>
            </c:numRef>
          </c:val>
          <c:smooth val="0"/>
        </c:ser>
        <c:axId val="765467861"/>
        <c:axId val="239673973"/>
      </c:lineChart>
      <c:catAx>
        <c:axId val="765467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673973"/>
      </c:catAx>
      <c:valAx>
        <c:axId val="239673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avg_latency(us)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467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BW(MB/s)与numjobs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host_ftl!$B$31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host_ftl!$A$32:$A$40</c:f>
            </c:strRef>
          </c:cat>
          <c:val>
            <c:numRef>
              <c:f>host_ftl!$B$32:$B$40</c:f>
              <c:numCache/>
            </c:numRef>
          </c:val>
          <c:smooth val="0"/>
        </c:ser>
        <c:axId val="782312752"/>
        <c:axId val="787972079"/>
      </c:lineChart>
      <c:catAx>
        <c:axId val="78231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numjobs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972079"/>
      </c:catAx>
      <c:valAx>
        <c:axId val="787972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BW(MB/s)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312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  <a:r>
              <a:rPr b="0" sz="3000">
                <a:solidFill>
                  <a:srgbClr val="000000"/>
                </a:solidFill>
                <a:latin typeface="+mn-lt"/>
              </a:rPr>
              <a:t>fio rand_read: bs=4k, iodepth=16</a:t>
            </a:r>
          </a:p>
        </c:rich>
      </c:tx>
      <c:overlay val="0"/>
    </c:title>
    <c:plotArea>
      <c:layout/>
      <c:lineChart>
        <c:ser>
          <c:idx val="0"/>
          <c:order val="0"/>
          <c:tx>
            <c:v>pure fio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host_ftl!$G$32:$G$40</c:f>
            </c:strRef>
          </c:cat>
          <c:val>
            <c:numRef>
              <c:f>host_ftl!$I$32:$I$40</c:f>
              <c:numCache/>
            </c:numRef>
          </c:val>
          <c:smooth val="0"/>
        </c:ser>
        <c:ser>
          <c:idx val="1"/>
          <c:order val="1"/>
          <c:tx>
            <c:v>fio while host_ftl</c:v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80000">
                  <a:alpha val="100000"/>
                </a:srgbClr>
              </a:solidFill>
              <a:ln cmpd="sng">
                <a:solidFill>
                  <a:srgbClr val="980000">
                    <a:alpha val="100000"/>
                  </a:srgbClr>
                </a:solidFill>
              </a:ln>
            </c:spPr>
          </c:marker>
          <c:cat>
            <c:strRef>
              <c:f>host_ftl!$G$32:$G$40</c:f>
            </c:strRef>
          </c:cat>
          <c:val>
            <c:numRef>
              <c:f>host_ftl!$I$45:$I$53</c:f>
              <c:numCache/>
            </c:numRef>
          </c:val>
          <c:smooth val="0"/>
        </c:ser>
        <c:axId val="2143029549"/>
        <c:axId val="830140270"/>
      </c:lineChart>
      <c:catAx>
        <c:axId val="2143029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simultaneous 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140270"/>
      </c:catAx>
      <c:valAx>
        <c:axId val="830140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kIOPS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029549"/>
      </c:valAx>
    </c:plotArea>
    <c:legend>
      <c:legendPos val="r"/>
      <c:legendEntry>
        <c:idx val="0"/>
        <c:txPr>
          <a:bodyPr/>
          <a:lstStyle/>
          <a:p>
            <a:pPr lvl="0">
              <a:defRPr sz="2000"/>
            </a:pPr>
          </a:p>
        </c:txPr>
      </c:legendEntry>
      <c:legendEntry>
        <c:idx val="1"/>
        <c:txPr>
          <a:bodyPr/>
          <a:lstStyle/>
          <a:p>
            <a:pPr lvl="0">
              <a:defRPr sz="20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dma_latency与thread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DMA!$E$86</c:f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DMA!$A$87:$A$95</c:f>
            </c:strRef>
          </c:cat>
          <c:val>
            <c:numRef>
              <c:f>DMA!$E$87:$E$95</c:f>
              <c:numCache/>
            </c:numRef>
          </c:val>
          <c:smooth val="1"/>
        </c:ser>
        <c:axId val="398923541"/>
        <c:axId val="1213293871"/>
      </c:lineChart>
      <c:catAx>
        <c:axId val="398923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parallel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293871"/>
      </c:catAx>
      <c:valAx>
        <c:axId val="1213293871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dma_latency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923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num_buckets(num_pilots)与num_keys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pthash!$B$8</c:f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80000">
                  <a:alpha val="100000"/>
                </a:srgbClr>
              </a:solidFill>
              <a:ln cmpd="sng">
                <a:solidFill>
                  <a:srgbClr val="980000">
                    <a:alpha val="100000"/>
                  </a:srgbClr>
                </a:solidFill>
              </a:ln>
            </c:spPr>
          </c:marker>
          <c:cat>
            <c:strRef>
              <c:f>pthash!$A$9:$A$14</c:f>
            </c:strRef>
          </c:cat>
          <c:val>
            <c:numRef>
              <c:f>pthash!$B$9:$B$14</c:f>
              <c:numCache/>
            </c:numRef>
          </c:val>
          <c:smooth val="0"/>
        </c:ser>
        <c:axId val="1891023813"/>
        <c:axId val="1937578556"/>
      </c:lineChart>
      <c:catAx>
        <c:axId val="1891023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num_keys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578556"/>
      </c:catAx>
      <c:valAx>
        <c:axId val="1937578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num_buckets(num_pilots)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023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FTL Lookup Breakdown (x86_euloros)</a:t>
            </a:r>
          </a:p>
        </c:rich>
      </c:tx>
      <c:overlay val="0"/>
    </c:title>
    <c:plotArea>
      <c:layout>
        <c:manualLayout>
          <c:xMode val="edge"/>
          <c:yMode val="edge"/>
          <c:x val="0.1242858072916666"/>
          <c:y val="0.15341419586702607"/>
          <c:w val="0.4091458544585792"/>
          <c:h val="0.667205750224618"/>
        </c:manualLayout>
      </c:layout>
      <c:barChart>
        <c:barDir val="col"/>
        <c:grouping val="stacked"/>
        <c:ser>
          <c:idx val="0"/>
          <c:order val="0"/>
          <c:tx>
            <c:strRef>
              <c:f>'ftl_v4 breakdown'!$A$4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'ftl_v4 breakdown'!$C$4</c:f>
            </c:strRef>
          </c:cat>
          <c:val>
            <c:numRef>
              <c:f>'ftl_v4 breakdown'!$C$4</c:f>
              <c:numCache/>
            </c:numRef>
          </c:val>
        </c:ser>
        <c:overlap val="100"/>
        <c:axId val="875959923"/>
        <c:axId val="994851758"/>
      </c:barChart>
      <c:catAx>
        <c:axId val="875959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operation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851758"/>
      </c:catAx>
      <c:valAx>
        <c:axId val="994851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time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959923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ftl_parallel!$D$5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ftl_parallel!$A$6:$A$14</c:f>
            </c:numRef>
          </c:xVal>
          <c:yVal>
            <c:numRef>
              <c:f>ftl_parallel!$D$6:$D$15</c:f>
              <c:numCache/>
            </c:numRef>
          </c:yVal>
        </c:ser>
        <c:ser>
          <c:idx val="1"/>
          <c:order val="1"/>
          <c:tx>
            <c:strRef>
              <c:f>ftl_parallel!$E$5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ftl_parallel!$A$6:$A$14</c:f>
            </c:numRef>
          </c:xVal>
          <c:yVal>
            <c:numRef>
              <c:f>ftl_parallel!$E$6:$E$15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38088"/>
        <c:axId val="361996856"/>
      </c:scatterChart>
      <c:valAx>
        <c:axId val="7035380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996856"/>
      </c:valAx>
      <c:valAx>
        <c:axId val="361996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538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DMA!$B$105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DMA!$A$106:$A$113</c:f>
            </c:strRef>
          </c:cat>
          <c:val>
            <c:numRef>
              <c:f>DMA!$B$106:$B$113</c:f>
              <c:numCache/>
            </c:numRef>
          </c:val>
          <c:smooth val="0"/>
        </c:ser>
        <c:axId val="1912611934"/>
        <c:axId val="1323928001"/>
      </c:lineChart>
      <c:catAx>
        <c:axId val="1912611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928001"/>
      </c:catAx>
      <c:valAx>
        <c:axId val="1323928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611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DMA!$E$105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DMA!$D$106:$D$113</c:f>
            </c:strRef>
          </c:cat>
          <c:val>
            <c:numRef>
              <c:f>DMA!$E$106:$E$113</c:f>
              <c:numCache/>
            </c:numRef>
          </c:val>
          <c:smooth val="0"/>
        </c:ser>
        <c:axId val="38428527"/>
        <c:axId val="1398062957"/>
      </c:lineChart>
      <c:catAx>
        <c:axId val="3842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062957"/>
      </c:catAx>
      <c:valAx>
        <c:axId val="1398062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28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thread=12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DMA!$H$105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DMA!$G$106:$G$113</c:f>
            </c:strRef>
          </c:cat>
          <c:val>
            <c:numRef>
              <c:f>DMA!$H$106:$H$113</c:f>
              <c:numCache/>
            </c:numRef>
          </c:val>
          <c:smooth val="0"/>
        </c:ser>
        <c:axId val="2051012292"/>
        <c:axId val="1311355117"/>
      </c:lineChart>
      <c:catAx>
        <c:axId val="2051012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355117"/>
      </c:catAx>
      <c:valAx>
        <c:axId val="1311355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012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DMA!$K$105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DMA!$J$106:$J$113</c:f>
            </c:strRef>
          </c:cat>
          <c:val>
            <c:numRef>
              <c:f>DMA!$K$106:$K$113</c:f>
              <c:numCache/>
            </c:numRef>
          </c:val>
          <c:smooth val="0"/>
        </c:ser>
        <c:axId val="861192764"/>
        <c:axId val="1311832997"/>
      </c:lineChart>
      <c:catAx>
        <c:axId val="861192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832997"/>
      </c:catAx>
      <c:valAx>
        <c:axId val="1311832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192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DMA!$N$105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DMA!$M$106:$M$111</c:f>
            </c:strRef>
          </c:cat>
          <c:val>
            <c:numRef>
              <c:f>DMA!$N$106:$N$111</c:f>
              <c:numCache/>
            </c:numRef>
          </c:val>
          <c:smooth val="0"/>
        </c:ser>
        <c:axId val="1496658292"/>
        <c:axId val="610621599"/>
      </c:lineChart>
      <c:catAx>
        <c:axId val="1496658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621599"/>
      </c:catAx>
      <c:valAx>
        <c:axId val="610621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658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thread=96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DMA!$Q$105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DMA!$P$106:$P$111</c:f>
            </c:strRef>
          </c:cat>
          <c:val>
            <c:numRef>
              <c:f>DMA!$Q$106:$Q$111</c:f>
              <c:numCache/>
            </c:numRef>
          </c:val>
          <c:smooth val="0"/>
        </c:ser>
        <c:axId val="2120641048"/>
        <c:axId val="780768572"/>
      </c:lineChart>
      <c:catAx>
        <c:axId val="212064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768572"/>
      </c:catAx>
      <c:valAx>
        <c:axId val="780768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641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3" Type="http://schemas.openxmlformats.org/officeDocument/2006/relationships/chart" Target="../charts/chart26.xml"/><Relationship Id="rId12" Type="http://schemas.openxmlformats.org/officeDocument/2006/relationships/chart" Target="../charts/chart25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25</xdr:row>
      <xdr:rowOff>76200</xdr:rowOff>
    </xdr:from>
    <xdr:ext cx="4486275" cy="2771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104775</xdr:colOff>
      <xdr:row>34</xdr:row>
      <xdr:rowOff>180975</xdr:rowOff>
    </xdr:from>
    <xdr:ext cx="6515100" cy="40290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295275</xdr:colOff>
      <xdr:row>79</xdr:row>
      <xdr:rowOff>104775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114</xdr:row>
      <xdr:rowOff>19050</xdr:rowOff>
    </xdr:from>
    <xdr:ext cx="3048000" cy="1885950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581025</xdr:colOff>
      <xdr:row>114</xdr:row>
      <xdr:rowOff>66675</xdr:rowOff>
    </xdr:from>
    <xdr:ext cx="2895600" cy="180022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200025</xdr:colOff>
      <xdr:row>113</xdr:row>
      <xdr:rowOff>161925</xdr:rowOff>
    </xdr:from>
    <xdr:ext cx="3238500" cy="2000250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628650</xdr:colOff>
      <xdr:row>113</xdr:row>
      <xdr:rowOff>200025</xdr:rowOff>
    </xdr:from>
    <xdr:ext cx="3124200" cy="1943100"/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800100</xdr:colOff>
      <xdr:row>114</xdr:row>
      <xdr:rowOff>19050</xdr:rowOff>
    </xdr:from>
    <xdr:ext cx="3048000" cy="1885950"/>
    <xdr:graphicFrame>
      <xdr:nvGraphicFramePr>
        <xdr:cNvPr id="8" name="Chart 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85725</xdr:colOff>
      <xdr:row>114</xdr:row>
      <xdr:rowOff>123825</xdr:rowOff>
    </xdr:from>
    <xdr:ext cx="2733675" cy="1704975"/>
    <xdr:graphicFrame>
      <xdr:nvGraphicFramePr>
        <xdr:cNvPr id="9" name="Chart 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895350</xdr:colOff>
      <xdr:row>114</xdr:row>
      <xdr:rowOff>66675</xdr:rowOff>
    </xdr:from>
    <xdr:ext cx="2895600" cy="1800225"/>
    <xdr:graphicFrame>
      <xdr:nvGraphicFramePr>
        <xdr:cNvPr id="10" name="Chart 1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21</xdr:col>
      <xdr:colOff>114300</xdr:colOff>
      <xdr:row>114</xdr:row>
      <xdr:rowOff>66675</xdr:rowOff>
    </xdr:from>
    <xdr:ext cx="2971800" cy="1800225"/>
    <xdr:graphicFrame>
      <xdr:nvGraphicFramePr>
        <xdr:cNvPr id="11" name="Chart 1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485775</xdr:colOff>
      <xdr:row>134</xdr:row>
      <xdr:rowOff>9525</xdr:rowOff>
    </xdr:from>
    <xdr:ext cx="5715000" cy="3533775"/>
    <xdr:graphicFrame>
      <xdr:nvGraphicFramePr>
        <xdr:cNvPr id="12" name="Chart 1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285750</xdr:colOff>
      <xdr:row>148</xdr:row>
      <xdr:rowOff>123825</xdr:rowOff>
    </xdr:from>
    <xdr:ext cx="5715000" cy="3533775"/>
    <xdr:graphicFrame>
      <xdr:nvGraphicFramePr>
        <xdr:cNvPr id="13" name="Chart 1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952500</xdr:colOff>
      <xdr:row>3</xdr:row>
      <xdr:rowOff>57150</xdr:rowOff>
    </xdr:from>
    <xdr:ext cx="5715000" cy="3848100"/>
    <xdr:graphicFrame>
      <xdr:nvGraphicFramePr>
        <xdr:cNvPr id="14" name="Chart 1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790575</xdr:colOff>
      <xdr:row>35</xdr:row>
      <xdr:rowOff>85725</xdr:rowOff>
    </xdr:from>
    <xdr:ext cx="5981700" cy="4019550"/>
    <xdr:graphicFrame>
      <xdr:nvGraphicFramePr>
        <xdr:cNvPr id="15" name="Chart 1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723900</xdr:colOff>
      <xdr:row>55</xdr:row>
      <xdr:rowOff>104775</xdr:rowOff>
    </xdr:from>
    <xdr:ext cx="5715000" cy="3533775"/>
    <xdr:graphicFrame>
      <xdr:nvGraphicFramePr>
        <xdr:cNvPr id="16" name="Chart 1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57150</xdr:colOff>
      <xdr:row>86</xdr:row>
      <xdr:rowOff>123825</xdr:rowOff>
    </xdr:from>
    <xdr:ext cx="3181350" cy="1971675"/>
    <xdr:graphicFrame>
      <xdr:nvGraphicFramePr>
        <xdr:cNvPr id="17" name="Chart 1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171450</xdr:rowOff>
    </xdr:from>
    <xdr:ext cx="3114675" cy="1933575"/>
    <xdr:graphicFrame>
      <xdr:nvGraphicFramePr>
        <xdr:cNvPr id="18" name="Chart 1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1190625</xdr:colOff>
      <xdr:row>106</xdr:row>
      <xdr:rowOff>171450</xdr:rowOff>
    </xdr:from>
    <xdr:ext cx="3114675" cy="1933575"/>
    <xdr:graphicFrame>
      <xdr:nvGraphicFramePr>
        <xdr:cNvPr id="19" name="Chart 1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857250</xdr:colOff>
      <xdr:row>107</xdr:row>
      <xdr:rowOff>104775</xdr:rowOff>
    </xdr:from>
    <xdr:ext cx="3038475" cy="1866900"/>
    <xdr:graphicFrame>
      <xdr:nvGraphicFramePr>
        <xdr:cNvPr id="20" name="Chart 2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571500</xdr:colOff>
      <xdr:row>108</xdr:row>
      <xdr:rowOff>114300</xdr:rowOff>
    </xdr:from>
    <xdr:ext cx="2600325" cy="1590675"/>
    <xdr:graphicFrame>
      <xdr:nvGraphicFramePr>
        <xdr:cNvPr id="21" name="Chart 2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361950</xdr:colOff>
      <xdr:row>108</xdr:row>
      <xdr:rowOff>95250</xdr:rowOff>
    </xdr:from>
    <xdr:ext cx="2657475" cy="1638300"/>
    <xdr:graphicFrame>
      <xdr:nvGraphicFramePr>
        <xdr:cNvPr id="22" name="Chart 2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323850</xdr:colOff>
      <xdr:row>109</xdr:row>
      <xdr:rowOff>95250</xdr:rowOff>
    </xdr:from>
    <xdr:ext cx="2562225" cy="1590675"/>
    <xdr:graphicFrame>
      <xdr:nvGraphicFramePr>
        <xdr:cNvPr id="23" name="Chart 2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20</xdr:col>
      <xdr:colOff>190500</xdr:colOff>
      <xdr:row>109</xdr:row>
      <xdr:rowOff>95250</xdr:rowOff>
    </xdr:from>
    <xdr:ext cx="2600325" cy="1590675"/>
    <xdr:graphicFrame>
      <xdr:nvGraphicFramePr>
        <xdr:cNvPr id="24" name="Chart 2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23</xdr:col>
      <xdr:colOff>95250</xdr:colOff>
      <xdr:row>109</xdr:row>
      <xdr:rowOff>95250</xdr:rowOff>
    </xdr:from>
    <xdr:ext cx="2771775" cy="1714500"/>
    <xdr:graphicFrame>
      <xdr:nvGraphicFramePr>
        <xdr:cNvPr id="25" name="Chart 2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</xdr:col>
      <xdr:colOff>857250</xdr:colOff>
      <xdr:row>116</xdr:row>
      <xdr:rowOff>171450</xdr:rowOff>
    </xdr:from>
    <xdr:ext cx="5715000" cy="3533775"/>
    <xdr:graphicFrame>
      <xdr:nvGraphicFramePr>
        <xdr:cNvPr id="26" name="Chart 2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1</xdr:row>
      <xdr:rowOff>123825</xdr:rowOff>
    </xdr:from>
    <xdr:ext cx="5715000" cy="3533775"/>
    <xdr:graphicFrame>
      <xdr:nvGraphicFramePr>
        <xdr:cNvPr id="27" name="Chart 2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438150</xdr:colOff>
      <xdr:row>11</xdr:row>
      <xdr:rowOff>85725</xdr:rowOff>
    </xdr:from>
    <xdr:ext cx="5715000" cy="3533775"/>
    <xdr:graphicFrame>
      <xdr:nvGraphicFramePr>
        <xdr:cNvPr id="28" name="Chart 2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933450</xdr:colOff>
      <xdr:row>32</xdr:row>
      <xdr:rowOff>9525</xdr:rowOff>
    </xdr:from>
    <xdr:ext cx="6877050" cy="4257675"/>
    <xdr:graphicFrame>
      <xdr:nvGraphicFramePr>
        <xdr:cNvPr id="29" name="Chart 2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9</xdr:row>
      <xdr:rowOff>19050</xdr:rowOff>
    </xdr:from>
    <xdr:ext cx="5819775" cy="3590925"/>
    <xdr:graphicFrame>
      <xdr:nvGraphicFramePr>
        <xdr:cNvPr id="30" name="Chart 3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723900</xdr:colOff>
      <xdr:row>12</xdr:row>
      <xdr:rowOff>180975</xdr:rowOff>
    </xdr:from>
    <xdr:ext cx="8991600" cy="4933950"/>
    <xdr:graphicFrame>
      <xdr:nvGraphicFramePr>
        <xdr:cNvPr id="31" name="Chart 3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619125</xdr:colOff>
      <xdr:row>4</xdr:row>
      <xdr:rowOff>47625</xdr:rowOff>
    </xdr:from>
    <xdr:ext cx="5715000" cy="3533775"/>
    <xdr:graphicFrame>
      <xdr:nvGraphicFramePr>
        <xdr:cNvPr id="32" name="Chart 3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9.5"/>
    <col customWidth="1" min="3" max="3" width="15.63"/>
    <col customWidth="1" min="4" max="4" width="14.75"/>
  </cols>
  <sheetData>
    <row r="4">
      <c r="A4" s="1" t="s">
        <v>0</v>
      </c>
    </row>
    <row r="12">
      <c r="A12" s="1" t="s">
        <v>1</v>
      </c>
      <c r="B12" s="1" t="s">
        <v>2</v>
      </c>
      <c r="C12" s="1" t="s">
        <v>3</v>
      </c>
      <c r="D12" s="1" t="s">
        <v>4</v>
      </c>
    </row>
    <row r="13">
      <c r="A13" s="1">
        <v>4.0</v>
      </c>
      <c r="B13" s="1">
        <v>1000000.0</v>
      </c>
      <c r="C13" s="2">
        <f t="shared" ref="C13:C22" si="1">A13*B13/2/1024/1024</f>
        <v>1.907348633</v>
      </c>
      <c r="D13" s="1">
        <v>8.9</v>
      </c>
    </row>
    <row r="14">
      <c r="A14" s="1">
        <v>8.0</v>
      </c>
      <c r="B14" s="1">
        <v>1000000.0</v>
      </c>
      <c r="C14" s="2">
        <f t="shared" si="1"/>
        <v>3.814697266</v>
      </c>
      <c r="D14" s="1">
        <v>8.9</v>
      </c>
    </row>
    <row r="15">
      <c r="A15" s="1">
        <v>16.0</v>
      </c>
      <c r="B15" s="1">
        <v>1000000.0</v>
      </c>
      <c r="C15" s="2">
        <f t="shared" si="1"/>
        <v>7.629394531</v>
      </c>
      <c r="D15" s="1">
        <v>8.9</v>
      </c>
    </row>
    <row r="16">
      <c r="A16" s="1">
        <v>32.0</v>
      </c>
      <c r="B16" s="1">
        <v>1000000.0</v>
      </c>
      <c r="C16" s="2">
        <f t="shared" si="1"/>
        <v>15.25878906</v>
      </c>
      <c r="D16" s="1">
        <v>8.9</v>
      </c>
    </row>
    <row r="17">
      <c r="A17" s="2">
        <f t="shared" ref="A17:A20" si="2">A16*2</f>
        <v>64</v>
      </c>
      <c r="B17" s="1">
        <v>1000000.0</v>
      </c>
      <c r="C17" s="2">
        <f t="shared" si="1"/>
        <v>30.51757813</v>
      </c>
      <c r="D17" s="1">
        <v>8.8</v>
      </c>
    </row>
    <row r="18">
      <c r="A18" s="2">
        <f t="shared" si="2"/>
        <v>128</v>
      </c>
      <c r="B18" s="1">
        <v>1000000.0</v>
      </c>
      <c r="C18" s="2">
        <f t="shared" si="1"/>
        <v>61.03515625</v>
      </c>
      <c r="D18" s="1">
        <v>8.9</v>
      </c>
    </row>
    <row r="19">
      <c r="A19" s="2">
        <f t="shared" si="2"/>
        <v>256</v>
      </c>
      <c r="B19" s="1">
        <v>1000000.0</v>
      </c>
      <c r="C19" s="2">
        <f t="shared" si="1"/>
        <v>122.0703125</v>
      </c>
      <c r="D19" s="1">
        <v>8.9</v>
      </c>
    </row>
    <row r="20">
      <c r="A20" s="2">
        <f t="shared" si="2"/>
        <v>512</v>
      </c>
      <c r="B20" s="1">
        <v>1000000.0</v>
      </c>
      <c r="C20" s="2">
        <f t="shared" si="1"/>
        <v>244.140625</v>
      </c>
      <c r="D20" s="1">
        <v>8.8</v>
      </c>
    </row>
    <row r="21">
      <c r="A21" s="3">
        <v>1024.0</v>
      </c>
      <c r="B21" s="1">
        <v>1000000.0</v>
      </c>
      <c r="C21" s="2">
        <f t="shared" si="1"/>
        <v>488.28125</v>
      </c>
      <c r="D21" s="1">
        <v>8.9</v>
      </c>
    </row>
    <row r="22">
      <c r="A22" s="3">
        <v>2048.0</v>
      </c>
      <c r="B22" s="1">
        <v>1000000.0</v>
      </c>
      <c r="C22" s="2">
        <f t="shared" si="1"/>
        <v>976.5625</v>
      </c>
      <c r="D22" s="1">
        <v>9.0</v>
      </c>
    </row>
    <row r="26">
      <c r="A26" s="1" t="s">
        <v>5</v>
      </c>
    </row>
    <row r="28">
      <c r="A28" s="1" t="s">
        <v>6</v>
      </c>
      <c r="D28" s="1" t="s">
        <v>7</v>
      </c>
    </row>
    <row r="29">
      <c r="A29" s="1" t="s">
        <v>8</v>
      </c>
      <c r="B29" s="1" t="s">
        <v>9</v>
      </c>
      <c r="D29" s="1" t="s">
        <v>8</v>
      </c>
      <c r="E29" s="1" t="s">
        <v>9</v>
      </c>
    </row>
    <row r="30">
      <c r="A30" s="1">
        <v>1.0</v>
      </c>
      <c r="B30" s="1">
        <v>8.9</v>
      </c>
      <c r="D30" s="1">
        <v>1.0</v>
      </c>
      <c r="E30" s="1">
        <v>8.9</v>
      </c>
    </row>
    <row r="31">
      <c r="A31" s="1">
        <v>5.0</v>
      </c>
      <c r="B31" s="1">
        <v>10.7</v>
      </c>
      <c r="D31" s="1">
        <v>5.0</v>
      </c>
      <c r="E31" s="1">
        <v>10.8</v>
      </c>
    </row>
    <row r="32">
      <c r="A32" s="1">
        <v>10.0</v>
      </c>
      <c r="B32" s="1">
        <v>12.9</v>
      </c>
      <c r="D32" s="1">
        <v>10.0</v>
      </c>
      <c r="E32" s="1">
        <v>14.3</v>
      </c>
    </row>
    <row r="33">
      <c r="A33" s="1">
        <v>15.0</v>
      </c>
      <c r="B33" s="1">
        <v>16.1</v>
      </c>
      <c r="D33" s="1">
        <v>15.0</v>
      </c>
      <c r="E33" s="1">
        <v>18.0</v>
      </c>
    </row>
    <row r="34">
      <c r="A34" s="1">
        <v>20.0</v>
      </c>
      <c r="B34" s="1">
        <v>19.6</v>
      </c>
      <c r="D34" s="1">
        <v>20.0</v>
      </c>
      <c r="E34" s="1">
        <v>21.6</v>
      </c>
    </row>
    <row r="35">
      <c r="A35" s="1">
        <v>25.0</v>
      </c>
      <c r="B35" s="1">
        <v>21.6</v>
      </c>
      <c r="D35" s="1">
        <v>25.0</v>
      </c>
      <c r="E35" s="1">
        <v>24.3</v>
      </c>
    </row>
    <row r="36">
      <c r="A36" s="1">
        <v>30.0</v>
      </c>
      <c r="B36" s="1">
        <v>24.5</v>
      </c>
      <c r="D36" s="1">
        <v>30.0</v>
      </c>
      <c r="E36" s="1">
        <v>27.3</v>
      </c>
    </row>
    <row r="37">
      <c r="D37" s="1" t="s">
        <v>10</v>
      </c>
      <c r="E37" s="2">
        <f>(E36-E30)/(D36-D30)</f>
        <v>0.6344827586</v>
      </c>
    </row>
    <row r="38">
      <c r="D38" s="4" t="s">
        <v>11</v>
      </c>
      <c r="E38" s="5">
        <f>E30-E37</f>
        <v>8.265517241</v>
      </c>
    </row>
    <row r="40">
      <c r="A40" s="1" t="s">
        <v>12</v>
      </c>
      <c r="B40" s="6"/>
    </row>
    <row r="42">
      <c r="A42" s="1" t="s">
        <v>1</v>
      </c>
      <c r="B42" s="1" t="s">
        <v>9</v>
      </c>
      <c r="C42" s="1" t="s">
        <v>13</v>
      </c>
      <c r="D42" s="1" t="s">
        <v>14</v>
      </c>
    </row>
    <row r="43">
      <c r="A43" s="1">
        <v>4.0</v>
      </c>
      <c r="B43" s="1">
        <v>63.08</v>
      </c>
      <c r="C43" s="2">
        <f t="shared" ref="C43:C52" si="3">(B43-$E$38)/100</f>
        <v>0.5481448276</v>
      </c>
      <c r="D43" s="2">
        <f t="shared" ref="D43:D52" si="4">A43/1024/1024/(C43/1000/1000)</f>
        <v>6.959287169</v>
      </c>
    </row>
    <row r="44">
      <c r="A44" s="1">
        <v>8.0</v>
      </c>
      <c r="B44" s="1">
        <v>63.11</v>
      </c>
      <c r="C44" s="2">
        <f t="shared" si="3"/>
        <v>0.5484448276</v>
      </c>
      <c r="D44" s="2">
        <f t="shared" si="4"/>
        <v>13.91096086</v>
      </c>
    </row>
    <row r="45">
      <c r="A45" s="1">
        <v>16.0</v>
      </c>
      <c r="B45" s="1">
        <v>63.46</v>
      </c>
      <c r="C45" s="2">
        <f t="shared" si="3"/>
        <v>0.5519448276</v>
      </c>
      <c r="D45" s="2">
        <f t="shared" si="4"/>
        <v>27.64549698</v>
      </c>
    </row>
    <row r="46">
      <c r="A46" s="1">
        <v>32.0</v>
      </c>
      <c r="B46" s="1">
        <v>63.19</v>
      </c>
      <c r="C46" s="2">
        <f t="shared" si="3"/>
        <v>0.5492448276</v>
      </c>
      <c r="D46" s="2">
        <f t="shared" si="4"/>
        <v>55.56279566</v>
      </c>
    </row>
    <row r="47">
      <c r="A47" s="2">
        <f t="shared" ref="A47:A50" si="5">A46*2</f>
        <v>64</v>
      </c>
      <c r="B47" s="1">
        <v>64.28</v>
      </c>
      <c r="C47" s="2">
        <f t="shared" si="3"/>
        <v>0.5601448276</v>
      </c>
      <c r="D47" s="2">
        <f t="shared" si="4"/>
        <v>108.9631703</v>
      </c>
    </row>
    <row r="48">
      <c r="A48" s="2">
        <f t="shared" si="5"/>
        <v>128</v>
      </c>
      <c r="B48" s="1">
        <v>67.53</v>
      </c>
      <c r="C48" s="2">
        <f t="shared" si="3"/>
        <v>0.5926448276</v>
      </c>
      <c r="D48" s="2">
        <f t="shared" si="4"/>
        <v>205.9754963</v>
      </c>
    </row>
    <row r="49">
      <c r="A49" s="2">
        <f t="shared" si="5"/>
        <v>256</v>
      </c>
      <c r="B49" s="1">
        <v>69.91</v>
      </c>
      <c r="C49" s="2">
        <f t="shared" si="3"/>
        <v>0.6164448276</v>
      </c>
      <c r="D49" s="2">
        <f t="shared" si="4"/>
        <v>396.0461895</v>
      </c>
    </row>
    <row r="50">
      <c r="A50" s="2">
        <f t="shared" si="5"/>
        <v>512</v>
      </c>
      <c r="B50" s="1">
        <v>74.01</v>
      </c>
      <c r="C50" s="2">
        <f t="shared" si="3"/>
        <v>0.6574448276</v>
      </c>
      <c r="D50" s="2">
        <f t="shared" si="4"/>
        <v>742.6954012</v>
      </c>
    </row>
    <row r="51">
      <c r="A51" s="3">
        <v>1024.0</v>
      </c>
      <c r="B51" s="1">
        <v>85.55</v>
      </c>
      <c r="C51" s="2">
        <f t="shared" si="3"/>
        <v>0.7728448276</v>
      </c>
      <c r="D51" s="2">
        <f t="shared" si="4"/>
        <v>1263.594534</v>
      </c>
    </row>
    <row r="52">
      <c r="A52" s="3">
        <v>2048.0</v>
      </c>
      <c r="B52" s="1">
        <v>107.73</v>
      </c>
      <c r="C52" s="2">
        <f t="shared" si="3"/>
        <v>0.9946448276</v>
      </c>
      <c r="D52" s="2">
        <f t="shared" si="4"/>
        <v>1963.640634</v>
      </c>
      <c r="E52" s="2">
        <f>C52/C51</f>
        <v>1.286991634</v>
      </c>
    </row>
    <row r="55">
      <c r="A55" s="1" t="s">
        <v>15</v>
      </c>
    </row>
    <row r="56">
      <c r="A56" s="1" t="s">
        <v>1</v>
      </c>
      <c r="B56" s="1" t="s">
        <v>9</v>
      </c>
      <c r="C56" s="1" t="s">
        <v>13</v>
      </c>
      <c r="D56" s="1" t="s">
        <v>14</v>
      </c>
    </row>
    <row r="57">
      <c r="A57" s="1">
        <v>4.0</v>
      </c>
      <c r="B57" s="1">
        <v>73.06</v>
      </c>
      <c r="C57" s="2">
        <f t="shared" ref="C57:C66" si="6">(B57-$E$38)/100</f>
        <v>0.6479448276</v>
      </c>
      <c r="D57" s="2">
        <f t="shared" ref="D57:D66" si="7">A57/1024/1024/(C57/1000/1000)</f>
        <v>5.887379763</v>
      </c>
    </row>
    <row r="58">
      <c r="A58" s="1">
        <v>8.0</v>
      </c>
      <c r="C58" s="2">
        <f t="shared" si="6"/>
        <v>-0.08265517241</v>
      </c>
      <c r="D58" s="2">
        <f t="shared" si="7"/>
        <v>-92.30389712</v>
      </c>
    </row>
    <row r="59">
      <c r="A59" s="1">
        <v>16.0</v>
      </c>
      <c r="C59" s="2">
        <f t="shared" si="6"/>
        <v>-0.08265517241</v>
      </c>
      <c r="D59" s="2">
        <f t="shared" si="7"/>
        <v>-184.6077942</v>
      </c>
    </row>
    <row r="60">
      <c r="A60" s="1">
        <v>32.0</v>
      </c>
      <c r="C60" s="2">
        <f t="shared" si="6"/>
        <v>-0.08265517241</v>
      </c>
      <c r="D60" s="2">
        <f t="shared" si="7"/>
        <v>-369.2155885</v>
      </c>
    </row>
    <row r="61">
      <c r="A61" s="2">
        <f t="shared" ref="A61:A64" si="8">A60*2</f>
        <v>64</v>
      </c>
      <c r="C61" s="2">
        <f t="shared" si="6"/>
        <v>-0.08265517241</v>
      </c>
      <c r="D61" s="2">
        <f t="shared" si="7"/>
        <v>-738.431177</v>
      </c>
    </row>
    <row r="62">
      <c r="A62" s="2">
        <f t="shared" si="8"/>
        <v>128</v>
      </c>
      <c r="C62" s="2">
        <f t="shared" si="6"/>
        <v>-0.08265517241</v>
      </c>
      <c r="D62" s="2">
        <f t="shared" si="7"/>
        <v>-1476.862354</v>
      </c>
    </row>
    <row r="63">
      <c r="A63" s="2">
        <f t="shared" si="8"/>
        <v>256</v>
      </c>
      <c r="C63" s="2">
        <f t="shared" si="6"/>
        <v>-0.08265517241</v>
      </c>
      <c r="D63" s="2">
        <f t="shared" si="7"/>
        <v>-2953.724708</v>
      </c>
    </row>
    <row r="64">
      <c r="A64" s="2">
        <f t="shared" si="8"/>
        <v>512</v>
      </c>
      <c r="C64" s="2">
        <f t="shared" si="6"/>
        <v>-0.08265517241</v>
      </c>
      <c r="D64" s="2">
        <f t="shared" si="7"/>
        <v>-5907.449416</v>
      </c>
    </row>
    <row r="65">
      <c r="A65" s="3">
        <v>1024.0</v>
      </c>
      <c r="C65" s="2">
        <f t="shared" si="6"/>
        <v>-0.08265517241</v>
      </c>
      <c r="D65" s="2">
        <f t="shared" si="7"/>
        <v>-11814.89883</v>
      </c>
    </row>
    <row r="66">
      <c r="A66" s="3">
        <v>2048.0</v>
      </c>
      <c r="C66" s="2">
        <f t="shared" si="6"/>
        <v>-0.08265517241</v>
      </c>
      <c r="D66" s="2">
        <f t="shared" si="7"/>
        <v>-23629.79766</v>
      </c>
    </row>
    <row r="68">
      <c r="A68" s="1" t="s">
        <v>16</v>
      </c>
    </row>
    <row r="69">
      <c r="A69" s="1" t="s">
        <v>1</v>
      </c>
      <c r="B69" s="1" t="s">
        <v>9</v>
      </c>
      <c r="C69" s="1" t="s">
        <v>13</v>
      </c>
      <c r="D69" s="1" t="s">
        <v>14</v>
      </c>
    </row>
    <row r="70">
      <c r="A70" s="1">
        <v>4.0</v>
      </c>
      <c r="B70" s="1">
        <v>650.136</v>
      </c>
      <c r="C70" s="2">
        <f t="shared" ref="C70:C79" si="9">(B70-$E$38)/100</f>
        <v>6.418704828</v>
      </c>
      <c r="D70" s="2">
        <f t="shared" ref="D70:D79" si="10">A70/1024/1024/(C70/1000/1000)*100</f>
        <v>59.43095014</v>
      </c>
    </row>
    <row r="71">
      <c r="A71" s="1">
        <v>8.0</v>
      </c>
      <c r="B71" s="1">
        <v>654.977</v>
      </c>
      <c r="C71" s="2">
        <f t="shared" si="9"/>
        <v>6.467114828</v>
      </c>
      <c r="D71" s="2">
        <f t="shared" si="10"/>
        <v>117.972152</v>
      </c>
    </row>
    <row r="72">
      <c r="A72" s="1">
        <v>16.0</v>
      </c>
      <c r="B72" s="1">
        <v>647.751</v>
      </c>
      <c r="C72" s="2">
        <f t="shared" si="9"/>
        <v>6.394854828</v>
      </c>
      <c r="D72" s="2">
        <f t="shared" si="10"/>
        <v>238.6104059</v>
      </c>
    </row>
    <row r="73">
      <c r="A73" s="1">
        <v>32.0</v>
      </c>
      <c r="B73" s="1">
        <v>656.01</v>
      </c>
      <c r="C73" s="2">
        <f t="shared" si="9"/>
        <v>6.477444828</v>
      </c>
      <c r="D73" s="2">
        <f t="shared" si="10"/>
        <v>471.1360565</v>
      </c>
    </row>
    <row r="74">
      <c r="A74" s="2">
        <f t="shared" ref="A74:A77" si="11">A73*2</f>
        <v>64</v>
      </c>
      <c r="B74" s="1">
        <v>654.147</v>
      </c>
      <c r="C74" s="2">
        <f t="shared" si="9"/>
        <v>6.458814828</v>
      </c>
      <c r="D74" s="2">
        <f t="shared" si="10"/>
        <v>944.9900311</v>
      </c>
    </row>
    <row r="75">
      <c r="A75" s="2">
        <f t="shared" si="11"/>
        <v>128</v>
      </c>
      <c r="B75" s="1">
        <v>650.235</v>
      </c>
      <c r="C75" s="2">
        <f t="shared" si="9"/>
        <v>6.419694828</v>
      </c>
      <c r="D75" s="2">
        <f t="shared" si="10"/>
        <v>1901.497124</v>
      </c>
    </row>
    <row r="76">
      <c r="A76" s="2">
        <f t="shared" si="11"/>
        <v>256</v>
      </c>
      <c r="B76" s="1">
        <v>642.204</v>
      </c>
      <c r="C76" s="2">
        <f t="shared" si="9"/>
        <v>6.339384828</v>
      </c>
      <c r="D76" s="2">
        <f t="shared" si="10"/>
        <v>3851.172182</v>
      </c>
    </row>
    <row r="77">
      <c r="A77" s="2">
        <f t="shared" si="11"/>
        <v>512</v>
      </c>
      <c r="B77" s="1">
        <v>742.206</v>
      </c>
      <c r="C77" s="2">
        <f t="shared" si="9"/>
        <v>7.339404828</v>
      </c>
      <c r="D77" s="2">
        <f t="shared" si="10"/>
        <v>6652.872562</v>
      </c>
    </row>
    <row r="78">
      <c r="A78" s="3">
        <v>1024.0</v>
      </c>
      <c r="B78" s="1">
        <v>1478.328</v>
      </c>
      <c r="C78" s="2">
        <f t="shared" si="9"/>
        <v>14.70062483</v>
      </c>
      <c r="D78" s="2">
        <f t="shared" si="10"/>
        <v>6642.99995</v>
      </c>
    </row>
    <row r="79">
      <c r="A79" s="3">
        <v>2048.0</v>
      </c>
      <c r="B79" s="1">
        <v>2952.8</v>
      </c>
      <c r="C79" s="2">
        <f t="shared" si="9"/>
        <v>29.44534483</v>
      </c>
      <c r="D79" s="2">
        <f t="shared" si="10"/>
        <v>6633.051885</v>
      </c>
    </row>
    <row r="82">
      <c r="A82" s="7" t="s">
        <v>8</v>
      </c>
      <c r="B82" s="7">
        <v>100.0</v>
      </c>
    </row>
    <row r="83">
      <c r="A83" s="7" t="s">
        <v>17</v>
      </c>
      <c r="B83" s="7">
        <v>2048.0</v>
      </c>
    </row>
    <row r="84">
      <c r="A84" s="7" t="s">
        <v>2</v>
      </c>
      <c r="B84" s="7">
        <v>100000.0</v>
      </c>
    </row>
    <row r="86">
      <c r="A86" s="8" t="s">
        <v>18</v>
      </c>
      <c r="B86" s="8" t="s">
        <v>9</v>
      </c>
      <c r="C86" s="8" t="s">
        <v>19</v>
      </c>
      <c r="D86" s="8" t="s">
        <v>20</v>
      </c>
      <c r="E86" s="8" t="s">
        <v>21</v>
      </c>
    </row>
    <row r="87">
      <c r="A87" s="8">
        <v>3.0</v>
      </c>
      <c r="B87" s="8">
        <v>120.859</v>
      </c>
      <c r="C87" s="8">
        <v>121.963</v>
      </c>
      <c r="D87" s="9">
        <f t="shared" ref="D87:D94" si="12">(C87-B87)/B87</f>
        <v>0.009134611407</v>
      </c>
      <c r="E87" s="9">
        <f t="shared" ref="E87:E94" si="13">(B87-$E$38)/$B$82</f>
        <v>1.125934828</v>
      </c>
    </row>
    <row r="88">
      <c r="A88" s="8">
        <v>6.0</v>
      </c>
      <c r="B88" s="8">
        <v>176.873</v>
      </c>
      <c r="C88" s="8">
        <v>177.36</v>
      </c>
      <c r="D88" s="9">
        <f t="shared" si="12"/>
        <v>0.002753388024</v>
      </c>
      <c r="E88" s="9">
        <f t="shared" si="13"/>
        <v>1.686074828</v>
      </c>
    </row>
    <row r="89">
      <c r="A89" s="8">
        <v>12.0</v>
      </c>
      <c r="B89" s="8">
        <v>354.398</v>
      </c>
      <c r="C89" s="8">
        <v>354.763</v>
      </c>
      <c r="D89" s="9">
        <f t="shared" si="12"/>
        <v>0.001029915519</v>
      </c>
      <c r="E89" s="9">
        <f t="shared" si="13"/>
        <v>3.461324828</v>
      </c>
    </row>
    <row r="90">
      <c r="A90" s="8">
        <v>24.0</v>
      </c>
      <c r="B90" s="8">
        <v>708.573</v>
      </c>
      <c r="C90" s="8">
        <v>708.78</v>
      </c>
      <c r="D90" s="9">
        <f t="shared" si="12"/>
        <v>0.0002921364489</v>
      </c>
      <c r="E90" s="9">
        <f t="shared" si="13"/>
        <v>7.003074828</v>
      </c>
    </row>
    <row r="91">
      <c r="A91" s="9">
        <f>A92/2</f>
        <v>48</v>
      </c>
      <c r="B91" s="8">
        <v>1417.288</v>
      </c>
      <c r="C91" s="8">
        <v>1417.475</v>
      </c>
      <c r="D91" s="9">
        <f t="shared" si="12"/>
        <v>0.0001319421317</v>
      </c>
      <c r="E91" s="9">
        <f t="shared" si="13"/>
        <v>14.09022483</v>
      </c>
    </row>
    <row r="92">
      <c r="A92" s="8">
        <v>96.0</v>
      </c>
      <c r="B92" s="8">
        <v>2843.92</v>
      </c>
      <c r="C92" s="8">
        <v>2843.962</v>
      </c>
      <c r="D92" s="9">
        <f t="shared" si="12"/>
        <v>0.00001476834791</v>
      </c>
      <c r="E92" s="9">
        <f t="shared" si="13"/>
        <v>28.35654483</v>
      </c>
    </row>
    <row r="93">
      <c r="A93" s="9">
        <f t="shared" ref="A93:A94" si="14">2*A92</f>
        <v>192</v>
      </c>
      <c r="B93" s="8">
        <v>5669.792</v>
      </c>
      <c r="C93" s="8">
        <v>5669.865</v>
      </c>
      <c r="D93" s="9">
        <f t="shared" si="12"/>
        <v>0.00001287525186</v>
      </c>
      <c r="E93" s="9">
        <f t="shared" si="13"/>
        <v>56.61526483</v>
      </c>
      <c r="F93" s="1" t="s">
        <v>22</v>
      </c>
      <c r="G93" s="1" t="s">
        <v>23</v>
      </c>
    </row>
    <row r="94">
      <c r="A94" s="9">
        <f t="shared" si="14"/>
        <v>384</v>
      </c>
      <c r="B94" s="8">
        <v>11339.683</v>
      </c>
      <c r="C94" s="8">
        <v>11339.729</v>
      </c>
      <c r="D94" s="9">
        <f t="shared" si="12"/>
        <v>0.000004056550787</v>
      </c>
      <c r="E94" s="9">
        <f t="shared" si="13"/>
        <v>113.3141748</v>
      </c>
      <c r="F94" s="2">
        <f>(E94-E87)/(A94-A87)</f>
        <v>0.2944573228</v>
      </c>
      <c r="G94" s="2">
        <f>E94-F94*A94</f>
        <v>0.2425628591</v>
      </c>
    </row>
    <row r="97">
      <c r="A97" s="1" t="s">
        <v>18</v>
      </c>
    </row>
    <row r="101">
      <c r="A101" s="1" t="s">
        <v>2</v>
      </c>
      <c r="B101" s="1">
        <v>100000.0</v>
      </c>
      <c r="D101" s="1" t="s">
        <v>2</v>
      </c>
      <c r="E101" s="1">
        <v>100000.0</v>
      </c>
      <c r="G101" s="1" t="s">
        <v>2</v>
      </c>
      <c r="H101" s="1">
        <v>100000.0</v>
      </c>
      <c r="J101" s="1" t="s">
        <v>2</v>
      </c>
      <c r="K101" s="1">
        <v>100000.0</v>
      </c>
      <c r="M101" s="1" t="s">
        <v>2</v>
      </c>
      <c r="N101" s="1">
        <v>10000.0</v>
      </c>
      <c r="P101" s="1" t="s">
        <v>2</v>
      </c>
      <c r="Q101" s="1">
        <v>10000.0</v>
      </c>
      <c r="S101" s="1" t="s">
        <v>2</v>
      </c>
      <c r="T101" s="1">
        <v>10000.0</v>
      </c>
      <c r="V101" s="1" t="s">
        <v>2</v>
      </c>
      <c r="W101" s="1">
        <v>10000.0</v>
      </c>
    </row>
    <row r="102">
      <c r="A102" s="1" t="s">
        <v>24</v>
      </c>
      <c r="B102" s="1">
        <v>2048.0</v>
      </c>
      <c r="D102" s="1" t="s">
        <v>24</v>
      </c>
      <c r="E102" s="1">
        <v>2048.0</v>
      </c>
      <c r="G102" s="1" t="s">
        <v>24</v>
      </c>
      <c r="H102" s="1">
        <v>2048.0</v>
      </c>
      <c r="J102" s="1" t="s">
        <v>24</v>
      </c>
      <c r="K102" s="1">
        <v>2048.0</v>
      </c>
      <c r="M102" s="1" t="s">
        <v>24</v>
      </c>
      <c r="N102" s="1">
        <v>2048.0</v>
      </c>
      <c r="P102" s="1" t="s">
        <v>24</v>
      </c>
      <c r="Q102" s="1">
        <v>2048.0</v>
      </c>
      <c r="S102" s="1" t="s">
        <v>24</v>
      </c>
      <c r="T102" s="1">
        <v>2048.0</v>
      </c>
      <c r="V102" s="1" t="s">
        <v>24</v>
      </c>
      <c r="W102" s="1">
        <v>2048.0</v>
      </c>
    </row>
    <row r="103">
      <c r="A103" s="1" t="s">
        <v>18</v>
      </c>
      <c r="B103" s="1">
        <v>3.0</v>
      </c>
      <c r="D103" s="1" t="s">
        <v>18</v>
      </c>
      <c r="E103" s="1">
        <v>6.0</v>
      </c>
      <c r="G103" s="1" t="s">
        <v>18</v>
      </c>
      <c r="H103" s="1">
        <v>12.0</v>
      </c>
      <c r="J103" s="1" t="s">
        <v>18</v>
      </c>
      <c r="K103" s="1">
        <v>24.0</v>
      </c>
      <c r="M103" s="1" t="s">
        <v>18</v>
      </c>
      <c r="N103" s="1">
        <v>48.0</v>
      </c>
      <c r="P103" s="1" t="s">
        <v>18</v>
      </c>
      <c r="Q103" s="1">
        <v>96.0</v>
      </c>
      <c r="S103" s="1" t="s">
        <v>18</v>
      </c>
      <c r="T103" s="1">
        <v>192.0</v>
      </c>
      <c r="V103" s="1" t="s">
        <v>18</v>
      </c>
      <c r="W103" s="1">
        <v>384.0</v>
      </c>
    </row>
    <row r="105">
      <c r="A105" s="1" t="s">
        <v>25</v>
      </c>
      <c r="B105" s="1" t="s">
        <v>9</v>
      </c>
      <c r="C105" s="10" t="s">
        <v>26</v>
      </c>
      <c r="D105" s="1" t="s">
        <v>25</v>
      </c>
      <c r="E105" s="1" t="s">
        <v>9</v>
      </c>
      <c r="F105" s="10" t="s">
        <v>26</v>
      </c>
      <c r="G105" s="1" t="s">
        <v>25</v>
      </c>
      <c r="H105" s="1" t="s">
        <v>9</v>
      </c>
      <c r="I105" s="10" t="s">
        <v>26</v>
      </c>
      <c r="J105" s="1" t="s">
        <v>25</v>
      </c>
      <c r="K105" s="1" t="s">
        <v>9</v>
      </c>
      <c r="L105" s="10" t="s">
        <v>26</v>
      </c>
      <c r="M105" s="1" t="s">
        <v>25</v>
      </c>
      <c r="N105" s="1" t="s">
        <v>9</v>
      </c>
      <c r="O105" s="10" t="s">
        <v>26</v>
      </c>
      <c r="P105" s="1" t="s">
        <v>25</v>
      </c>
      <c r="Q105" s="1" t="s">
        <v>9</v>
      </c>
      <c r="R105" s="10" t="s">
        <v>26</v>
      </c>
      <c r="S105" s="1" t="s">
        <v>25</v>
      </c>
      <c r="T105" s="1" t="s">
        <v>9</v>
      </c>
      <c r="U105" s="10" t="s">
        <v>26</v>
      </c>
      <c r="V105" s="1" t="s">
        <v>25</v>
      </c>
      <c r="W105" s="1" t="s">
        <v>9</v>
      </c>
      <c r="X105" s="10" t="s">
        <v>26</v>
      </c>
    </row>
    <row r="106">
      <c r="A106" s="1">
        <v>10.0</v>
      </c>
      <c r="B106" s="1">
        <v>22.553</v>
      </c>
      <c r="C106" s="11">
        <f>(B111-B106)/(A111-A106)</f>
        <v>1.16356129</v>
      </c>
      <c r="D106" s="1">
        <v>10.0</v>
      </c>
      <c r="E106" s="1">
        <v>25.009</v>
      </c>
      <c r="F106" s="11">
        <f>(E110-E106)/(D110-D106)</f>
        <v>1.715213333</v>
      </c>
      <c r="G106" s="1">
        <v>10.0</v>
      </c>
      <c r="H106" s="1">
        <v>36.942</v>
      </c>
      <c r="I106" s="11">
        <f>(H110-H106)/(G110-G106)</f>
        <v>3.531813333</v>
      </c>
      <c r="J106" s="1">
        <v>10.0</v>
      </c>
      <c r="K106" s="1">
        <v>86.134</v>
      </c>
      <c r="L106" s="11">
        <f>(K110-K106)/(J110-J106)</f>
        <v>6.98024</v>
      </c>
      <c r="M106" s="1">
        <v>10.0</v>
      </c>
      <c r="N106" s="1">
        <v>208.205</v>
      </c>
      <c r="O106" s="11">
        <f>(N110-N107)/(M110-M107)</f>
        <v>14.15205</v>
      </c>
      <c r="P106" s="1">
        <v>10.0</v>
      </c>
      <c r="Q106" s="1">
        <v>606.477</v>
      </c>
      <c r="R106" s="11">
        <f>(Q110-Q107)/(P110-P107)</f>
        <v>28.13012143</v>
      </c>
      <c r="S106" s="1">
        <v>10.0</v>
      </c>
      <c r="T106" s="1">
        <v>1578.974</v>
      </c>
      <c r="U106" s="11">
        <f>(T110-T108)/(S110-S108)</f>
        <v>56.592875</v>
      </c>
      <c r="V106" s="1">
        <v>10.0</v>
      </c>
      <c r="X106" s="11">
        <f>(W111-W109)/(V111-V109)</f>
        <v>112.8442875</v>
      </c>
    </row>
    <row r="107">
      <c r="A107" s="2">
        <f t="shared" ref="A107:A111" si="15">A106*2</f>
        <v>20</v>
      </c>
      <c r="B107" s="1">
        <v>33.852</v>
      </c>
      <c r="D107" s="2">
        <f t="shared" ref="D107:D111" si="16">D106*2</f>
        <v>20</v>
      </c>
      <c r="E107" s="1">
        <v>39.205</v>
      </c>
      <c r="G107" s="2">
        <f t="shared" ref="G107:G111" si="17">G106*2</f>
        <v>20</v>
      </c>
      <c r="H107" s="1">
        <v>71.414</v>
      </c>
      <c r="J107" s="2">
        <f t="shared" ref="J107:J111" si="18">J106*2</f>
        <v>20</v>
      </c>
      <c r="K107" s="1">
        <v>142.433</v>
      </c>
      <c r="M107" s="2">
        <f t="shared" ref="M107:M111" si="19">M106*2</f>
        <v>20</v>
      </c>
      <c r="N107" s="1">
        <v>284.512</v>
      </c>
      <c r="P107" s="2">
        <f t="shared" ref="P107:P111" si="20">P106*2</f>
        <v>20</v>
      </c>
      <c r="Q107" s="1">
        <v>593.149</v>
      </c>
      <c r="S107" s="2">
        <f t="shared" ref="S107:S111" si="21">S106*2</f>
        <v>20</v>
      </c>
      <c r="T107" s="1">
        <v>1566.783</v>
      </c>
      <c r="V107" s="2">
        <f t="shared" ref="V107:V111" si="22">V106*2</f>
        <v>20</v>
      </c>
    </row>
    <row r="108">
      <c r="A108" s="2">
        <f t="shared" si="15"/>
        <v>40</v>
      </c>
      <c r="B108" s="1">
        <v>57.844</v>
      </c>
      <c r="D108" s="2">
        <f t="shared" si="16"/>
        <v>40</v>
      </c>
      <c r="E108" s="1">
        <v>72.262</v>
      </c>
      <c r="G108" s="2">
        <f t="shared" si="17"/>
        <v>40</v>
      </c>
      <c r="H108" s="1">
        <v>142.09</v>
      </c>
      <c r="J108" s="2">
        <f t="shared" si="18"/>
        <v>40</v>
      </c>
      <c r="K108" s="1">
        <v>283.902</v>
      </c>
      <c r="M108" s="2">
        <f t="shared" si="19"/>
        <v>40</v>
      </c>
      <c r="N108" s="1">
        <v>576.939</v>
      </c>
      <c r="P108" s="2">
        <f t="shared" si="20"/>
        <v>40</v>
      </c>
      <c r="Q108" s="1">
        <v>1135.266</v>
      </c>
      <c r="S108" s="2">
        <f t="shared" si="21"/>
        <v>40</v>
      </c>
      <c r="T108" s="1">
        <v>2271.583</v>
      </c>
      <c r="V108" s="2">
        <f t="shared" si="22"/>
        <v>40</v>
      </c>
      <c r="W108" s="1">
        <v>5209.856</v>
      </c>
    </row>
    <row r="109">
      <c r="A109" s="2">
        <f t="shared" si="15"/>
        <v>80</v>
      </c>
      <c r="B109" s="1">
        <v>104.453</v>
      </c>
      <c r="D109" s="2">
        <f t="shared" si="16"/>
        <v>80</v>
      </c>
      <c r="E109" s="1">
        <v>142.09</v>
      </c>
      <c r="G109" s="2">
        <f t="shared" si="17"/>
        <v>80</v>
      </c>
      <c r="H109" s="1">
        <v>283.572</v>
      </c>
      <c r="J109" s="2">
        <f t="shared" si="18"/>
        <v>80</v>
      </c>
      <c r="K109" s="1">
        <v>566.76</v>
      </c>
      <c r="M109" s="2">
        <f t="shared" si="19"/>
        <v>80</v>
      </c>
      <c r="N109" s="1">
        <v>1133.68</v>
      </c>
      <c r="P109" s="2">
        <f t="shared" si="20"/>
        <v>80</v>
      </c>
      <c r="Q109" s="1">
        <v>2266.892</v>
      </c>
      <c r="S109" s="2">
        <f t="shared" si="21"/>
        <v>80</v>
      </c>
      <c r="T109" s="1">
        <v>4533.88</v>
      </c>
      <c r="V109" s="2">
        <f t="shared" si="22"/>
        <v>80</v>
      </c>
      <c r="W109" s="1">
        <v>9067.135</v>
      </c>
    </row>
    <row r="110">
      <c r="A110" s="2">
        <f t="shared" si="15"/>
        <v>160</v>
      </c>
      <c r="B110" s="1">
        <v>199.081</v>
      </c>
      <c r="D110" s="2">
        <f t="shared" si="16"/>
        <v>160</v>
      </c>
      <c r="E110" s="1">
        <v>282.291</v>
      </c>
      <c r="G110" s="2">
        <f t="shared" si="17"/>
        <v>160</v>
      </c>
      <c r="H110" s="1">
        <v>566.714</v>
      </c>
      <c r="J110" s="2">
        <f t="shared" si="18"/>
        <v>160</v>
      </c>
      <c r="K110" s="1">
        <v>1133.17</v>
      </c>
      <c r="M110" s="2">
        <f t="shared" si="19"/>
        <v>160</v>
      </c>
      <c r="N110" s="1">
        <v>2265.799</v>
      </c>
      <c r="P110" s="2">
        <f t="shared" si="20"/>
        <v>160</v>
      </c>
      <c r="Q110" s="1">
        <v>4531.366</v>
      </c>
      <c r="S110" s="2">
        <f t="shared" si="21"/>
        <v>160</v>
      </c>
      <c r="T110" s="1">
        <v>9062.728</v>
      </c>
      <c r="V110" s="2">
        <f t="shared" si="22"/>
        <v>160</v>
      </c>
      <c r="W110" s="1">
        <v>18124.036</v>
      </c>
    </row>
    <row r="111">
      <c r="A111" s="2">
        <f t="shared" si="15"/>
        <v>320</v>
      </c>
      <c r="B111" s="1">
        <v>383.257</v>
      </c>
      <c r="D111" s="2">
        <f t="shared" si="16"/>
        <v>320</v>
      </c>
      <c r="G111" s="2">
        <f t="shared" si="17"/>
        <v>320</v>
      </c>
      <c r="J111" s="2">
        <f t="shared" si="18"/>
        <v>320</v>
      </c>
      <c r="M111" s="2">
        <f t="shared" si="19"/>
        <v>320</v>
      </c>
      <c r="P111" s="2">
        <f t="shared" si="20"/>
        <v>320</v>
      </c>
      <c r="S111" s="2">
        <f t="shared" si="21"/>
        <v>320</v>
      </c>
      <c r="V111" s="2">
        <f t="shared" si="22"/>
        <v>320</v>
      </c>
      <c r="W111" s="1">
        <v>36149.764</v>
      </c>
    </row>
    <row r="127">
      <c r="A127" s="1" t="s">
        <v>18</v>
      </c>
      <c r="B127" s="1" t="s">
        <v>27</v>
      </c>
      <c r="C127" s="1" t="s">
        <v>21</v>
      </c>
      <c r="D127" s="1" t="s">
        <v>28</v>
      </c>
      <c r="E127" s="1" t="s">
        <v>29</v>
      </c>
    </row>
    <row r="128">
      <c r="A128" s="1">
        <v>3.0</v>
      </c>
      <c r="B128" s="2">
        <v>0.14044354838709677</v>
      </c>
      <c r="C128" s="2">
        <v>1.1635612903225807</v>
      </c>
      <c r="D128" s="2">
        <f t="shared" ref="D128:D135" si="23">64*A128/1024/1024/(B128/10000000)</f>
        <v>13037.65612</v>
      </c>
      <c r="E128" s="2">
        <f t="shared" ref="E128:E135" si="24">2048*A128/1024/1024/(C128/1000000)</f>
        <v>5035.725276</v>
      </c>
    </row>
    <row r="129">
      <c r="A129" s="1">
        <v>6.0</v>
      </c>
      <c r="B129" s="2">
        <v>0.1386161290322581</v>
      </c>
      <c r="C129" s="2">
        <v>1.7152133333333333</v>
      </c>
      <c r="D129" s="2">
        <f t="shared" si="23"/>
        <v>26419.07115</v>
      </c>
      <c r="E129" s="2">
        <f t="shared" si="24"/>
        <v>6832.240499</v>
      </c>
    </row>
    <row r="130">
      <c r="A130" s="1">
        <v>12.0</v>
      </c>
      <c r="B130" s="1">
        <v>0.1349558333</v>
      </c>
      <c r="C130" s="2">
        <v>3.5318133333333335</v>
      </c>
      <c r="D130" s="2">
        <f t="shared" si="23"/>
        <v>54271.22764</v>
      </c>
      <c r="E130" s="2">
        <f t="shared" si="24"/>
        <v>6636.109496</v>
      </c>
      <c r="K130" s="1" t="s">
        <v>30</v>
      </c>
      <c r="L130" s="2">
        <f>POW(2,32)</f>
        <v>4294967296</v>
      </c>
      <c r="N130" s="11"/>
    </row>
    <row r="131">
      <c r="A131" s="1">
        <v>24.0</v>
      </c>
      <c r="B131" s="2">
        <v>0.1527046875</v>
      </c>
      <c r="C131" s="2">
        <v>6.98024</v>
      </c>
      <c r="D131" s="2">
        <f t="shared" si="23"/>
        <v>95926.57396</v>
      </c>
      <c r="E131" s="2">
        <f t="shared" si="24"/>
        <v>6715.385144</v>
      </c>
      <c r="K131" s="1" t="s">
        <v>31</v>
      </c>
      <c r="L131" s="2">
        <f>L130/2</f>
        <v>2147483648</v>
      </c>
    </row>
    <row r="132">
      <c r="A132" s="2">
        <f>A133/2</f>
        <v>48</v>
      </c>
      <c r="B132" s="2">
        <v>0.16081941964285715</v>
      </c>
      <c r="C132" s="2">
        <v>14.152050000000001</v>
      </c>
      <c r="D132" s="2">
        <f t="shared" si="23"/>
        <v>182172.4955</v>
      </c>
      <c r="E132" s="2">
        <f t="shared" si="24"/>
        <v>6624.481966</v>
      </c>
      <c r="L132" s="2">
        <f>L131/1024</f>
        <v>2097152</v>
      </c>
    </row>
    <row r="133">
      <c r="A133" s="1">
        <v>96.0</v>
      </c>
      <c r="B133" s="2">
        <v>0.32504765625</v>
      </c>
      <c r="C133" s="2">
        <v>28.130121428571428</v>
      </c>
      <c r="D133" s="2">
        <f t="shared" si="23"/>
        <v>180262.0289</v>
      </c>
      <c r="E133" s="2">
        <f t="shared" si="24"/>
        <v>6665.452919</v>
      </c>
      <c r="K133" s="1" t="s">
        <v>32</v>
      </c>
      <c r="L133" s="2">
        <f>3*L132/LOG(L132,2)</f>
        <v>299593.1429</v>
      </c>
      <c r="M133" s="2">
        <f>L132/8</f>
        <v>262144</v>
      </c>
    </row>
    <row r="134">
      <c r="A134" s="2">
        <f t="shared" ref="A134:A135" si="25">2*A133</f>
        <v>192</v>
      </c>
      <c r="B134" s="2">
        <v>0.649783203125</v>
      </c>
      <c r="C134" s="2">
        <v>56.592874999999985</v>
      </c>
      <c r="D134" s="2">
        <f t="shared" si="23"/>
        <v>180348.6139</v>
      </c>
      <c r="E134" s="2">
        <f t="shared" si="24"/>
        <v>6626.275834</v>
      </c>
    </row>
    <row r="135">
      <c r="A135" s="2">
        <f t="shared" si="25"/>
        <v>384</v>
      </c>
      <c r="B135" s="2">
        <v>1.2653650390625</v>
      </c>
      <c r="C135" s="2">
        <v>112.84428750000001</v>
      </c>
      <c r="D135" s="2">
        <f t="shared" si="23"/>
        <v>185223.2303</v>
      </c>
      <c r="E135" s="2">
        <f t="shared" si="24"/>
        <v>6646.326692</v>
      </c>
    </row>
    <row r="138">
      <c r="A138" s="1" t="s">
        <v>18</v>
      </c>
      <c r="B138" s="1" t="s">
        <v>33</v>
      </c>
      <c r="C138" s="1" t="s">
        <v>34</v>
      </c>
      <c r="D138" s="1" t="s">
        <v>35</v>
      </c>
      <c r="E138" s="1" t="s">
        <v>36</v>
      </c>
      <c r="F138" s="1" t="s">
        <v>37</v>
      </c>
    </row>
    <row r="139">
      <c r="A139" s="1">
        <v>1.0</v>
      </c>
      <c r="B139" s="1">
        <v>0.99</v>
      </c>
      <c r="C139" s="1">
        <v>0.77</v>
      </c>
      <c r="D139" s="2">
        <f>B139/C139</f>
        <v>1.285714286</v>
      </c>
      <c r="F139" s="2">
        <f t="shared" ref="F139:F140" si="26">1*A139/1024/(C139/1000/1000)</f>
        <v>1268.262987</v>
      </c>
    </row>
    <row r="140">
      <c r="A140" s="1">
        <v>3.0</v>
      </c>
      <c r="B140" s="2">
        <v>1.1635612903225807</v>
      </c>
      <c r="C140" s="1">
        <v>0.77</v>
      </c>
      <c r="D140" s="2">
        <v>1.2869916341327385</v>
      </c>
      <c r="E140" s="12">
        <v>5.195838</v>
      </c>
      <c r="F140" s="2">
        <f t="shared" si="26"/>
        <v>3804.788961</v>
      </c>
    </row>
    <row r="141">
      <c r="A141" s="1">
        <v>6.0</v>
      </c>
      <c r="B141" s="2">
        <v>1.7152133333333333</v>
      </c>
      <c r="C141" s="1">
        <f t="shared" ref="C141:C147" si="27">1*A141/1024/$F$141*1000*1000</f>
        <v>0.8576066667</v>
      </c>
      <c r="E141" s="12">
        <v>5.413544</v>
      </c>
      <c r="F141" s="2">
        <v>6832.240498752342</v>
      </c>
    </row>
    <row r="142">
      <c r="A142" s="1">
        <v>12.0</v>
      </c>
      <c r="B142" s="2">
        <v>3.5318133333333335</v>
      </c>
      <c r="C142" s="1">
        <f t="shared" si="27"/>
        <v>1.715213333</v>
      </c>
      <c r="E142" s="12">
        <v>5.848957</v>
      </c>
      <c r="F142" s="2">
        <f t="shared" ref="F142:F147" si="28">1*A142/1024/(C142/1000/1000)</f>
        <v>6832.240499</v>
      </c>
    </row>
    <row r="143">
      <c r="A143" s="1">
        <v>24.0</v>
      </c>
      <c r="B143" s="2">
        <v>6.98024</v>
      </c>
      <c r="C143" s="1">
        <f t="shared" si="27"/>
        <v>3.430426667</v>
      </c>
      <c r="E143" s="12">
        <v>6.719783</v>
      </c>
      <c r="F143" s="2">
        <f t="shared" si="28"/>
        <v>6832.240499</v>
      </c>
    </row>
    <row r="144">
      <c r="A144" s="2">
        <f>A145/2</f>
        <v>48</v>
      </c>
      <c r="B144" s="2">
        <v>14.152050000000001</v>
      </c>
      <c r="C144" s="1">
        <f t="shared" si="27"/>
        <v>6.860853333</v>
      </c>
      <c r="F144" s="2">
        <f t="shared" si="28"/>
        <v>6832.240499</v>
      </c>
    </row>
    <row r="145">
      <c r="A145" s="1">
        <v>96.0</v>
      </c>
      <c r="B145" s="2">
        <v>28.130121428571428</v>
      </c>
      <c r="C145" s="1">
        <f t="shared" si="27"/>
        <v>13.72170667</v>
      </c>
      <c r="F145" s="2">
        <f t="shared" si="28"/>
        <v>6832.240499</v>
      </c>
    </row>
    <row r="146">
      <c r="A146" s="2">
        <f t="shared" ref="A146:A147" si="29">2*A145</f>
        <v>192</v>
      </c>
      <c r="B146" s="2">
        <v>56.592874999999985</v>
      </c>
      <c r="C146" s="1">
        <f t="shared" si="27"/>
        <v>27.44341333</v>
      </c>
      <c r="F146" s="2">
        <f t="shared" si="28"/>
        <v>6832.240499</v>
      </c>
    </row>
    <row r="147">
      <c r="A147" s="2">
        <f t="shared" si="29"/>
        <v>384</v>
      </c>
      <c r="B147" s="2">
        <v>112.84428750000001</v>
      </c>
      <c r="C147" s="1">
        <f t="shared" si="27"/>
        <v>54.88682667</v>
      </c>
      <c r="F147" s="2">
        <f t="shared" si="28"/>
        <v>6832.240499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4" max="4" width="18.13"/>
  </cols>
  <sheetData>
    <row r="1">
      <c r="A1" s="13" t="s">
        <v>38</v>
      </c>
    </row>
    <row r="5">
      <c r="A5" s="1" t="s">
        <v>39</v>
      </c>
    </row>
    <row r="6">
      <c r="A6" s="4" t="s">
        <v>40</v>
      </c>
      <c r="B6" s="4" t="s">
        <v>41</v>
      </c>
    </row>
    <row r="7">
      <c r="A7" s="1" t="s">
        <v>42</v>
      </c>
      <c r="B7" s="1" t="s">
        <v>43</v>
      </c>
      <c r="F7" s="1" t="s">
        <v>42</v>
      </c>
      <c r="G7" s="1" t="s">
        <v>43</v>
      </c>
    </row>
    <row r="8">
      <c r="A8" s="1" t="s">
        <v>25</v>
      </c>
      <c r="B8" s="1" t="s">
        <v>44</v>
      </c>
      <c r="C8" s="1" t="s">
        <v>45</v>
      </c>
      <c r="F8" s="1" t="s">
        <v>25</v>
      </c>
      <c r="G8" s="1" t="s">
        <v>44</v>
      </c>
      <c r="H8" s="1" t="s">
        <v>22</v>
      </c>
      <c r="I8" s="1" t="s">
        <v>46</v>
      </c>
      <c r="J8" s="1" t="s">
        <v>23</v>
      </c>
      <c r="K8" s="1" t="s">
        <v>47</v>
      </c>
      <c r="L8" s="1" t="s">
        <v>45</v>
      </c>
    </row>
    <row r="9">
      <c r="A9" s="1">
        <v>1.0</v>
      </c>
      <c r="B9" s="1">
        <v>8.956</v>
      </c>
      <c r="C9" s="2">
        <f t="shared" ref="C9:C18" si="1">$E$15+A9*$E$14</f>
        <v>8.956</v>
      </c>
      <c r="F9" s="1">
        <v>1.0</v>
      </c>
      <c r="G9" s="1">
        <v>8.956</v>
      </c>
      <c r="I9" s="2">
        <f>average(H9:H18)</f>
        <v>0.1046160494</v>
      </c>
      <c r="J9" s="2">
        <f t="shared" ref="J9:J18" si="2">G9-$I$9*F9</f>
        <v>8.851383951</v>
      </c>
      <c r="K9" s="2">
        <f>average(J9:J18)</f>
        <v>8.811116173</v>
      </c>
      <c r="L9" s="2">
        <f t="shared" ref="L9:L18" si="3">K$9+I$9*F9</f>
        <v>8.915732222</v>
      </c>
    </row>
    <row r="10">
      <c r="A10" s="1">
        <v>10.0</v>
      </c>
      <c r="B10" s="1">
        <v>9.545</v>
      </c>
      <c r="C10" s="2">
        <f t="shared" si="1"/>
        <v>9.901505618</v>
      </c>
      <c r="F10" s="1">
        <v>10.0</v>
      </c>
      <c r="G10" s="1">
        <v>9.545</v>
      </c>
      <c r="H10" s="2">
        <f t="shared" ref="H10:H18" si="4">(G10-G9)/(F10-F9)</f>
        <v>0.06544444444</v>
      </c>
      <c r="J10" s="2">
        <f t="shared" si="2"/>
        <v>8.498839506</v>
      </c>
      <c r="L10" s="2">
        <f t="shared" si="3"/>
        <v>9.857276667</v>
      </c>
    </row>
    <row r="11">
      <c r="A11" s="1">
        <v>20.0</v>
      </c>
      <c r="B11" s="1">
        <v>10.803</v>
      </c>
      <c r="C11" s="2">
        <f t="shared" si="1"/>
        <v>10.95206742</v>
      </c>
      <c r="F11" s="1">
        <v>20.0</v>
      </c>
      <c r="G11" s="1">
        <v>10.803</v>
      </c>
      <c r="H11" s="2">
        <f t="shared" si="4"/>
        <v>0.1258</v>
      </c>
      <c r="J11" s="2">
        <f t="shared" si="2"/>
        <v>8.710679012</v>
      </c>
      <c r="L11" s="2">
        <f t="shared" si="3"/>
        <v>10.90343716</v>
      </c>
    </row>
    <row r="12">
      <c r="A12" s="2">
        <f t="shared" ref="A12:A18" si="5">A11+10</f>
        <v>30</v>
      </c>
      <c r="B12" s="1">
        <v>11.934</v>
      </c>
      <c r="C12" s="2">
        <f t="shared" si="1"/>
        <v>12.00262921</v>
      </c>
      <c r="F12" s="2">
        <f t="shared" ref="F12:F18" si="6">F11+10</f>
        <v>30</v>
      </c>
      <c r="G12" s="1">
        <v>11.934</v>
      </c>
      <c r="H12" s="2">
        <f t="shared" si="4"/>
        <v>0.1131</v>
      </c>
      <c r="J12" s="2">
        <f t="shared" si="2"/>
        <v>8.795518519</v>
      </c>
      <c r="L12" s="2">
        <f t="shared" si="3"/>
        <v>11.94959765</v>
      </c>
    </row>
    <row r="13">
      <c r="A13" s="2">
        <f t="shared" si="5"/>
        <v>40</v>
      </c>
      <c r="B13" s="1">
        <v>12.662</v>
      </c>
      <c r="C13" s="2">
        <f t="shared" si="1"/>
        <v>13.05319101</v>
      </c>
      <c r="F13" s="2">
        <f t="shared" si="6"/>
        <v>40</v>
      </c>
      <c r="G13" s="1">
        <v>12.662</v>
      </c>
      <c r="H13" s="2">
        <f t="shared" si="4"/>
        <v>0.0728</v>
      </c>
      <c r="J13" s="2">
        <f t="shared" si="2"/>
        <v>8.477358025</v>
      </c>
      <c r="L13" s="2">
        <f t="shared" si="3"/>
        <v>12.99575815</v>
      </c>
    </row>
    <row r="14">
      <c r="A14" s="2">
        <f t="shared" si="5"/>
        <v>50</v>
      </c>
      <c r="B14" s="1">
        <v>14.519</v>
      </c>
      <c r="C14" s="2">
        <f t="shared" si="1"/>
        <v>14.10375281</v>
      </c>
      <c r="D14" s="1" t="s">
        <v>22</v>
      </c>
      <c r="E14" s="2">
        <f>(B18-B9)/(A18-A9)</f>
        <v>0.1050561798</v>
      </c>
      <c r="F14" s="2">
        <f t="shared" si="6"/>
        <v>50</v>
      </c>
      <c r="G14" s="1">
        <v>14.519</v>
      </c>
      <c r="H14" s="2">
        <f t="shared" si="4"/>
        <v>0.1857</v>
      </c>
      <c r="J14" s="2">
        <f t="shared" si="2"/>
        <v>9.288197531</v>
      </c>
      <c r="L14" s="2">
        <f t="shared" si="3"/>
        <v>14.04191864</v>
      </c>
    </row>
    <row r="15">
      <c r="A15" s="2">
        <f t="shared" si="5"/>
        <v>60</v>
      </c>
      <c r="B15" s="1">
        <v>14.61</v>
      </c>
      <c r="C15" s="2">
        <f t="shared" si="1"/>
        <v>15.15431461</v>
      </c>
      <c r="D15" s="1" t="s">
        <v>23</v>
      </c>
      <c r="E15" s="2">
        <f>B9-E14</f>
        <v>8.85094382</v>
      </c>
      <c r="F15" s="2">
        <f t="shared" si="6"/>
        <v>60</v>
      </c>
      <c r="G15" s="1">
        <v>14.61</v>
      </c>
      <c r="H15" s="2">
        <f t="shared" si="4"/>
        <v>0.0091</v>
      </c>
      <c r="J15" s="2">
        <f t="shared" si="2"/>
        <v>8.333037037</v>
      </c>
      <c r="L15" s="2">
        <f t="shared" si="3"/>
        <v>15.08807914</v>
      </c>
    </row>
    <row r="16">
      <c r="A16" s="2">
        <f t="shared" si="5"/>
        <v>70</v>
      </c>
      <c r="B16" s="1">
        <v>16.188</v>
      </c>
      <c r="C16" s="2">
        <f t="shared" si="1"/>
        <v>16.2048764</v>
      </c>
      <c r="F16" s="2">
        <f t="shared" si="6"/>
        <v>70</v>
      </c>
      <c r="G16" s="1">
        <v>16.188</v>
      </c>
      <c r="H16" s="2">
        <f t="shared" si="4"/>
        <v>0.1578</v>
      </c>
      <c r="J16" s="2">
        <f t="shared" si="2"/>
        <v>8.864876543</v>
      </c>
      <c r="L16" s="2">
        <f t="shared" si="3"/>
        <v>16.13423963</v>
      </c>
    </row>
    <row r="17">
      <c r="A17" s="2">
        <f t="shared" si="5"/>
        <v>80</v>
      </c>
      <c r="B17" s="1">
        <v>17.77</v>
      </c>
      <c r="C17" s="2">
        <f t="shared" si="1"/>
        <v>17.2554382</v>
      </c>
      <c r="F17" s="2">
        <f t="shared" si="6"/>
        <v>80</v>
      </c>
      <c r="G17" s="1">
        <v>17.77</v>
      </c>
      <c r="H17" s="2">
        <f t="shared" si="4"/>
        <v>0.1582</v>
      </c>
      <c r="J17" s="2">
        <f t="shared" si="2"/>
        <v>9.400716049</v>
      </c>
      <c r="L17" s="2">
        <f t="shared" si="3"/>
        <v>17.18040012</v>
      </c>
    </row>
    <row r="18">
      <c r="A18" s="2">
        <f t="shared" si="5"/>
        <v>90</v>
      </c>
      <c r="B18" s="1">
        <v>18.306</v>
      </c>
      <c r="C18" s="2">
        <f t="shared" si="1"/>
        <v>18.306</v>
      </c>
      <c r="F18" s="2">
        <f t="shared" si="6"/>
        <v>90</v>
      </c>
      <c r="G18" s="1">
        <v>18.306</v>
      </c>
      <c r="H18" s="2">
        <f t="shared" si="4"/>
        <v>0.0536</v>
      </c>
      <c r="J18" s="2">
        <f t="shared" si="2"/>
        <v>8.890555556</v>
      </c>
      <c r="L18" s="2">
        <f t="shared" si="3"/>
        <v>18.22656062</v>
      </c>
    </row>
    <row r="20">
      <c r="D20" s="14" t="s">
        <v>48</v>
      </c>
    </row>
    <row r="21">
      <c r="D21" s="15">
        <v>0.10505617977528091</v>
      </c>
    </row>
    <row r="23">
      <c r="A23" s="1" t="s">
        <v>42</v>
      </c>
      <c r="B23" s="1" t="s">
        <v>49</v>
      </c>
    </row>
    <row r="24">
      <c r="A24" s="1" t="s">
        <v>25</v>
      </c>
      <c r="B24" s="1" t="s">
        <v>50</v>
      </c>
      <c r="C24" s="1" t="s">
        <v>51</v>
      </c>
      <c r="D24" s="1" t="s">
        <v>22</v>
      </c>
      <c r="F24" s="1" t="s">
        <v>42</v>
      </c>
      <c r="G24" s="1" t="s">
        <v>49</v>
      </c>
    </row>
    <row r="25">
      <c r="A25" s="1">
        <v>1.0</v>
      </c>
      <c r="B25" s="1">
        <v>8.899</v>
      </c>
      <c r="C25" s="2">
        <f t="shared" ref="C25:C34" si="7">$E$31+A25*$E$30</f>
        <v>8.899</v>
      </c>
      <c r="F25" s="1" t="s">
        <v>25</v>
      </c>
      <c r="G25" s="1" t="s">
        <v>50</v>
      </c>
      <c r="H25" s="1" t="s">
        <v>22</v>
      </c>
      <c r="I25" s="1" t="s">
        <v>52</v>
      </c>
      <c r="J25" s="1" t="s">
        <v>23</v>
      </c>
      <c r="K25" s="1" t="s">
        <v>53</v>
      </c>
      <c r="L25" s="1" t="s">
        <v>51</v>
      </c>
    </row>
    <row r="26">
      <c r="A26" s="1">
        <v>10.0</v>
      </c>
      <c r="B26" s="1">
        <v>10.645</v>
      </c>
      <c r="C26" s="2">
        <f t="shared" si="7"/>
        <v>9.998011236</v>
      </c>
      <c r="D26" s="2">
        <f t="shared" ref="D26:D34" si="8">(B26-$B$25)/(A26-$A$25)</f>
        <v>0.194</v>
      </c>
      <c r="F26" s="1">
        <v>1.0</v>
      </c>
      <c r="G26" s="1">
        <v>8.899</v>
      </c>
      <c r="I26" s="2">
        <f>average(H26:H35)</f>
        <v>0.1221701968</v>
      </c>
      <c r="J26" s="2">
        <f t="shared" ref="J26:J35" si="9">G26-$I$26*F26</f>
        <v>8.776829803</v>
      </c>
      <c r="K26" s="2">
        <f>average(J26:J35)</f>
        <v>8.527624123</v>
      </c>
      <c r="L26" s="2">
        <f t="shared" ref="L26:L35" si="10">$K$26+$I$26*F26</f>
        <v>8.64979432</v>
      </c>
    </row>
    <row r="27">
      <c r="A27" s="1">
        <v>20.0</v>
      </c>
      <c r="B27" s="1">
        <v>10.769</v>
      </c>
      <c r="C27" s="2">
        <f t="shared" si="7"/>
        <v>11.21913483</v>
      </c>
      <c r="D27" s="2">
        <f t="shared" si="8"/>
        <v>0.09842105263</v>
      </c>
      <c r="F27" s="1">
        <v>10.0</v>
      </c>
      <c r="G27" s="1">
        <v>10.645</v>
      </c>
      <c r="H27" s="2">
        <f t="shared" ref="H27:H35" si="11">(G27-$G$26)/(F27-$F$26)</f>
        <v>0.194</v>
      </c>
      <c r="J27" s="2">
        <f t="shared" si="9"/>
        <v>9.423298032</v>
      </c>
      <c r="L27" s="2">
        <f t="shared" si="10"/>
        <v>9.749326092</v>
      </c>
    </row>
    <row r="28">
      <c r="A28" s="2">
        <f t="shared" ref="A28:A34" si="12">A27+10</f>
        <v>30</v>
      </c>
      <c r="B28" s="1">
        <v>12.592</v>
      </c>
      <c r="C28" s="2">
        <f t="shared" si="7"/>
        <v>12.44025843</v>
      </c>
      <c r="D28" s="2">
        <f t="shared" si="8"/>
        <v>0.1273448276</v>
      </c>
      <c r="F28" s="1">
        <v>20.0</v>
      </c>
      <c r="G28" s="1">
        <v>10.769</v>
      </c>
      <c r="H28" s="2">
        <f t="shared" si="11"/>
        <v>0.09842105263</v>
      </c>
      <c r="J28" s="2">
        <f t="shared" si="9"/>
        <v>8.325596064</v>
      </c>
      <c r="L28" s="2">
        <f t="shared" si="10"/>
        <v>10.97102806</v>
      </c>
    </row>
    <row r="29">
      <c r="A29" s="2">
        <f t="shared" si="12"/>
        <v>40</v>
      </c>
      <c r="B29" s="1">
        <v>12.746</v>
      </c>
      <c r="C29" s="2">
        <f t="shared" si="7"/>
        <v>13.66138202</v>
      </c>
      <c r="D29" s="2">
        <f t="shared" si="8"/>
        <v>0.09864102564</v>
      </c>
      <c r="F29" s="2">
        <f t="shared" ref="F29:F35" si="13">F28+10</f>
        <v>30</v>
      </c>
      <c r="G29" s="1">
        <v>12.592</v>
      </c>
      <c r="H29" s="2">
        <f t="shared" si="11"/>
        <v>0.1273448276</v>
      </c>
      <c r="J29" s="2">
        <f t="shared" si="9"/>
        <v>8.926894095</v>
      </c>
      <c r="L29" s="2">
        <f t="shared" si="10"/>
        <v>12.19273003</v>
      </c>
    </row>
    <row r="30">
      <c r="A30" s="2">
        <f t="shared" si="12"/>
        <v>50</v>
      </c>
      <c r="B30" s="1">
        <v>14.445</v>
      </c>
      <c r="C30" s="2">
        <f t="shared" si="7"/>
        <v>14.88250562</v>
      </c>
      <c r="D30" s="2">
        <f t="shared" si="8"/>
        <v>0.1131836735</v>
      </c>
      <c r="E30" s="2">
        <f>(B34-B25)/(A34-A25)</f>
        <v>0.1221123596</v>
      </c>
      <c r="F30" s="2">
        <f t="shared" si="13"/>
        <v>40</v>
      </c>
      <c r="G30" s="1">
        <v>12.746</v>
      </c>
      <c r="H30" s="2">
        <f t="shared" si="11"/>
        <v>0.09864102564</v>
      </c>
      <c r="J30" s="2">
        <f t="shared" si="9"/>
        <v>7.859192127</v>
      </c>
      <c r="L30" s="2">
        <f t="shared" si="10"/>
        <v>13.414432</v>
      </c>
    </row>
    <row r="31">
      <c r="A31" s="2">
        <f t="shared" si="12"/>
        <v>60</v>
      </c>
      <c r="B31" s="1">
        <v>16.12</v>
      </c>
      <c r="C31" s="2">
        <f t="shared" si="7"/>
        <v>16.10362921</v>
      </c>
      <c r="D31" s="2">
        <f t="shared" si="8"/>
        <v>0.1223898305</v>
      </c>
      <c r="E31" s="2">
        <f>B25-E30</f>
        <v>8.77688764</v>
      </c>
      <c r="F31" s="2">
        <f t="shared" si="13"/>
        <v>50</v>
      </c>
      <c r="G31" s="1">
        <v>14.445</v>
      </c>
      <c r="H31" s="2">
        <f t="shared" si="11"/>
        <v>0.1131836735</v>
      </c>
      <c r="J31" s="2">
        <f t="shared" si="9"/>
        <v>8.336490159</v>
      </c>
      <c r="L31" s="2">
        <f t="shared" si="10"/>
        <v>14.63613396</v>
      </c>
    </row>
    <row r="32">
      <c r="A32" s="2">
        <f t="shared" si="12"/>
        <v>70</v>
      </c>
      <c r="B32" s="1">
        <v>16.197</v>
      </c>
      <c r="C32" s="2">
        <f t="shared" si="7"/>
        <v>17.32475281</v>
      </c>
      <c r="D32" s="2">
        <f t="shared" si="8"/>
        <v>0.1057681159</v>
      </c>
      <c r="F32" s="2">
        <f t="shared" si="13"/>
        <v>60</v>
      </c>
      <c r="G32" s="1">
        <v>16.12</v>
      </c>
      <c r="H32" s="2">
        <f t="shared" si="11"/>
        <v>0.1223898305</v>
      </c>
      <c r="J32" s="2">
        <f t="shared" si="9"/>
        <v>8.789788191</v>
      </c>
      <c r="L32" s="2">
        <f t="shared" si="10"/>
        <v>15.85783593</v>
      </c>
    </row>
    <row r="33">
      <c r="A33" s="2">
        <f t="shared" si="12"/>
        <v>80</v>
      </c>
      <c r="B33" s="1">
        <v>18.195</v>
      </c>
      <c r="C33" s="2">
        <f t="shared" si="7"/>
        <v>18.5458764</v>
      </c>
      <c r="D33" s="2">
        <f t="shared" si="8"/>
        <v>0.1176708861</v>
      </c>
      <c r="F33" s="2">
        <f t="shared" si="13"/>
        <v>70</v>
      </c>
      <c r="G33" s="1">
        <v>16.197</v>
      </c>
      <c r="H33" s="2">
        <f t="shared" si="11"/>
        <v>0.1057681159</v>
      </c>
      <c r="J33" s="2">
        <f t="shared" si="9"/>
        <v>7.645086222</v>
      </c>
      <c r="L33" s="2">
        <f t="shared" si="10"/>
        <v>17.0795379</v>
      </c>
    </row>
    <row r="34">
      <c r="A34" s="2">
        <f t="shared" si="12"/>
        <v>90</v>
      </c>
      <c r="B34" s="1">
        <v>19.767</v>
      </c>
      <c r="C34" s="2">
        <f t="shared" si="7"/>
        <v>19.767</v>
      </c>
      <c r="D34" s="2">
        <f t="shared" si="8"/>
        <v>0.1221123596</v>
      </c>
      <c r="F34" s="2">
        <f t="shared" si="13"/>
        <v>80</v>
      </c>
      <c r="G34" s="1">
        <v>18.195</v>
      </c>
      <c r="H34" s="2">
        <f t="shared" si="11"/>
        <v>0.1176708861</v>
      </c>
      <c r="J34" s="2">
        <f t="shared" si="9"/>
        <v>8.421384254</v>
      </c>
      <c r="L34" s="2">
        <f t="shared" si="10"/>
        <v>18.30123987</v>
      </c>
    </row>
    <row r="35">
      <c r="F35" s="2">
        <f t="shared" si="13"/>
        <v>90</v>
      </c>
      <c r="G35" s="1">
        <v>19.767</v>
      </c>
      <c r="H35" s="2">
        <f t="shared" si="11"/>
        <v>0.1221123596</v>
      </c>
      <c r="J35" s="2">
        <f t="shared" si="9"/>
        <v>8.771682286</v>
      </c>
      <c r="L35" s="2">
        <f t="shared" si="10"/>
        <v>19.52294184</v>
      </c>
    </row>
    <row r="37">
      <c r="A37" s="1" t="s">
        <v>42</v>
      </c>
      <c r="B37" s="1" t="s">
        <v>54</v>
      </c>
    </row>
    <row r="38">
      <c r="A38" s="1" t="s">
        <v>25</v>
      </c>
      <c r="B38" s="1" t="s">
        <v>55</v>
      </c>
      <c r="C38" s="1" t="s">
        <v>22</v>
      </c>
      <c r="D38" s="1" t="s">
        <v>52</v>
      </c>
      <c r="E38" s="1" t="s">
        <v>23</v>
      </c>
      <c r="F38" s="1" t="s">
        <v>47</v>
      </c>
      <c r="G38" s="1" t="s">
        <v>56</v>
      </c>
      <c r="H38" s="1" t="s">
        <v>57</v>
      </c>
      <c r="I38" s="1" t="s">
        <v>58</v>
      </c>
    </row>
    <row r="39">
      <c r="A39" s="1">
        <v>1.0</v>
      </c>
      <c r="B39" s="1">
        <v>8.942</v>
      </c>
      <c r="D39" s="2">
        <f>AVERAGE(C39:C48)</f>
        <v>0.1071480422</v>
      </c>
      <c r="E39" s="2">
        <f t="shared" ref="E39:E48" si="14">B39-D$39*A39</f>
        <v>8.834851958</v>
      </c>
      <c r="F39" s="2">
        <f>AVERAGE(E39:E48)</f>
        <v>9.491423296</v>
      </c>
      <c r="G39" s="2">
        <f>(B48-B39)/(A48-A39)</f>
        <v>0.1248202247</v>
      </c>
      <c r="H39" s="2">
        <f>B39-G39</f>
        <v>8.817179775</v>
      </c>
      <c r="I39" s="2">
        <f t="shared" ref="I39:I48" si="15">H$39+G$39*A39</f>
        <v>8.942</v>
      </c>
    </row>
    <row r="40">
      <c r="A40" s="1">
        <v>10.0</v>
      </c>
      <c r="B40" s="1">
        <v>8.94</v>
      </c>
      <c r="C40" s="2">
        <f t="shared" ref="C40:C48" si="16">(B40-B$39)/(A40-A$39)</f>
        <v>-0.0002222222222</v>
      </c>
      <c r="E40" s="2">
        <f t="shared" si="14"/>
        <v>7.868519578</v>
      </c>
      <c r="I40" s="2">
        <f t="shared" si="15"/>
        <v>10.06538202</v>
      </c>
    </row>
    <row r="41">
      <c r="A41" s="1">
        <v>20.0</v>
      </c>
      <c r="B41" s="1">
        <v>10.684</v>
      </c>
      <c r="C41" s="2">
        <f t="shared" si="16"/>
        <v>0.09168421053</v>
      </c>
      <c r="E41" s="2">
        <f t="shared" si="14"/>
        <v>8.541039156</v>
      </c>
      <c r="I41" s="2">
        <f t="shared" si="15"/>
        <v>11.31358427</v>
      </c>
    </row>
    <row r="42">
      <c r="A42" s="2">
        <f t="shared" ref="A42:A48" si="17">A41+10</f>
        <v>30</v>
      </c>
      <c r="B42" s="1">
        <v>12.65</v>
      </c>
      <c r="C42" s="2">
        <f t="shared" si="16"/>
        <v>0.127862069</v>
      </c>
      <c r="E42" s="2">
        <f t="shared" si="14"/>
        <v>9.435558734</v>
      </c>
      <c r="I42" s="2">
        <f t="shared" si="15"/>
        <v>12.56178652</v>
      </c>
    </row>
    <row r="43">
      <c r="A43" s="2">
        <f t="shared" si="17"/>
        <v>40</v>
      </c>
      <c r="B43" s="1">
        <v>13.275</v>
      </c>
      <c r="C43" s="2">
        <f t="shared" si="16"/>
        <v>0.1111025641</v>
      </c>
      <c r="E43" s="2">
        <f t="shared" si="14"/>
        <v>8.989078312</v>
      </c>
      <c r="I43" s="2">
        <f t="shared" si="15"/>
        <v>13.80998876</v>
      </c>
    </row>
    <row r="44">
      <c r="A44" s="2">
        <f t="shared" si="17"/>
        <v>50</v>
      </c>
      <c r="B44" s="1">
        <v>14.745</v>
      </c>
      <c r="C44" s="2">
        <f t="shared" si="16"/>
        <v>0.1184285714</v>
      </c>
      <c r="E44" s="2">
        <f t="shared" si="14"/>
        <v>9.38759789</v>
      </c>
      <c r="I44" s="2">
        <f t="shared" si="15"/>
        <v>15.05819101</v>
      </c>
    </row>
    <row r="45">
      <c r="A45" s="2">
        <f t="shared" si="17"/>
        <v>60</v>
      </c>
      <c r="B45" s="1">
        <v>16.071</v>
      </c>
      <c r="C45" s="2">
        <f t="shared" si="16"/>
        <v>0.1208305085</v>
      </c>
      <c r="E45" s="2">
        <f t="shared" si="14"/>
        <v>9.642117468</v>
      </c>
      <c r="I45" s="2">
        <f t="shared" si="15"/>
        <v>16.30639326</v>
      </c>
    </row>
    <row r="46">
      <c r="A46" s="2">
        <f t="shared" si="17"/>
        <v>70</v>
      </c>
      <c r="B46" s="1">
        <v>18.052</v>
      </c>
      <c r="C46" s="2">
        <f t="shared" si="16"/>
        <v>0.1320289855</v>
      </c>
      <c r="E46" s="2">
        <f t="shared" si="14"/>
        <v>10.55163705</v>
      </c>
      <c r="I46" s="2">
        <f t="shared" si="15"/>
        <v>17.55459551</v>
      </c>
    </row>
    <row r="47">
      <c r="A47" s="2">
        <f t="shared" si="17"/>
        <v>80</v>
      </c>
      <c r="B47" s="1">
        <v>19.828</v>
      </c>
      <c r="C47" s="2">
        <f t="shared" si="16"/>
        <v>0.1377974684</v>
      </c>
      <c r="E47" s="2">
        <f t="shared" si="14"/>
        <v>11.25615662</v>
      </c>
      <c r="I47" s="2">
        <f t="shared" si="15"/>
        <v>18.80279775</v>
      </c>
    </row>
    <row r="48">
      <c r="A48" s="2">
        <f t="shared" si="17"/>
        <v>90</v>
      </c>
      <c r="B48" s="1">
        <v>20.051</v>
      </c>
      <c r="C48" s="2">
        <f t="shared" si="16"/>
        <v>0.1248202247</v>
      </c>
      <c r="E48" s="2">
        <f t="shared" si="14"/>
        <v>10.4076762</v>
      </c>
      <c r="I48" s="2">
        <f t="shared" si="15"/>
        <v>20.051</v>
      </c>
    </row>
    <row r="52">
      <c r="A52" s="13" t="s">
        <v>59</v>
      </c>
    </row>
    <row r="55">
      <c r="A55" s="1" t="s">
        <v>2</v>
      </c>
      <c r="B55" s="1">
        <v>100000.0</v>
      </c>
    </row>
    <row r="56">
      <c r="A56" s="1" t="s">
        <v>25</v>
      </c>
      <c r="B56" s="1">
        <v>100.0</v>
      </c>
    </row>
    <row r="57">
      <c r="A57" s="1" t="s">
        <v>24</v>
      </c>
      <c r="B57" s="1">
        <v>64.0</v>
      </c>
    </row>
    <row r="59">
      <c r="A59" s="8" t="s">
        <v>18</v>
      </c>
      <c r="B59" s="8" t="s">
        <v>9</v>
      </c>
      <c r="C59" s="8" t="s">
        <v>19</v>
      </c>
      <c r="D59" s="8" t="s">
        <v>20</v>
      </c>
      <c r="E59" s="8" t="s">
        <v>27</v>
      </c>
    </row>
    <row r="60">
      <c r="A60" s="8">
        <v>3.0</v>
      </c>
      <c r="B60" s="8">
        <v>24.183</v>
      </c>
      <c r="C60" s="8">
        <v>24.184</v>
      </c>
      <c r="D60" s="9">
        <f t="shared" ref="D60:D67" si="18">(C60-B60)/B60</f>
        <v>0.00004135136253</v>
      </c>
      <c r="E60" s="9">
        <f t="shared" ref="E60:E67" si="19">(B60-$K$9)/$B$56</f>
        <v>0.1537188383</v>
      </c>
    </row>
    <row r="61">
      <c r="A61" s="8">
        <v>6.0</v>
      </c>
      <c r="B61" s="8">
        <v>25.852</v>
      </c>
      <c r="C61" s="8">
        <v>26.09</v>
      </c>
      <c r="D61" s="9">
        <f t="shared" si="18"/>
        <v>0.009206250967</v>
      </c>
      <c r="E61" s="9">
        <f t="shared" si="19"/>
        <v>0.1704088383</v>
      </c>
    </row>
    <row r="62">
      <c r="A62" s="8">
        <v>12.0</v>
      </c>
      <c r="B62" s="8">
        <v>33.861</v>
      </c>
      <c r="C62" s="8">
        <v>35.679</v>
      </c>
      <c r="D62" s="9">
        <f t="shared" si="18"/>
        <v>0.05369008594</v>
      </c>
      <c r="E62" s="9">
        <f t="shared" si="19"/>
        <v>0.2504988383</v>
      </c>
    </row>
    <row r="63">
      <c r="A63" s="8">
        <v>24.0</v>
      </c>
      <c r="B63" s="8">
        <v>85.651</v>
      </c>
      <c r="C63" s="8">
        <v>86.068</v>
      </c>
      <c r="D63" s="9">
        <f t="shared" si="18"/>
        <v>0.004868594646</v>
      </c>
      <c r="E63" s="9">
        <f t="shared" si="19"/>
        <v>0.7683988383</v>
      </c>
    </row>
    <row r="64">
      <c r="A64" s="9">
        <f>A65/2</f>
        <v>48</v>
      </c>
      <c r="B64" s="8">
        <v>206.6</v>
      </c>
      <c r="C64" s="8">
        <v>206.831</v>
      </c>
      <c r="D64" s="9">
        <f t="shared" si="18"/>
        <v>0.001118102614</v>
      </c>
      <c r="E64" s="9">
        <f t="shared" si="19"/>
        <v>1.977888838</v>
      </c>
    </row>
    <row r="65">
      <c r="A65" s="8">
        <v>96.0</v>
      </c>
      <c r="B65" s="8">
        <v>597.387</v>
      </c>
      <c r="C65" s="8">
        <v>598.599</v>
      </c>
      <c r="D65" s="9">
        <f t="shared" si="18"/>
        <v>0.002028835579</v>
      </c>
      <c r="E65" s="9">
        <f t="shared" si="19"/>
        <v>5.885758838</v>
      </c>
    </row>
    <row r="66">
      <c r="A66" s="9">
        <f t="shared" ref="A66:A67" si="20">2*A65</f>
        <v>192</v>
      </c>
      <c r="B66" s="8">
        <v>1577.023</v>
      </c>
      <c r="C66" s="8">
        <v>1581.01</v>
      </c>
      <c r="D66" s="9">
        <f t="shared" si="18"/>
        <v>0.002528181263</v>
      </c>
      <c r="E66" s="9">
        <f t="shared" si="19"/>
        <v>15.68211884</v>
      </c>
      <c r="F66" s="2">
        <f>(E66-E60)/(A66-A60)</f>
        <v>0.08216084656</v>
      </c>
    </row>
    <row r="67">
      <c r="A67" s="9">
        <f t="shared" si="20"/>
        <v>384</v>
      </c>
      <c r="B67" s="8">
        <v>5389.736</v>
      </c>
      <c r="C67" s="9"/>
      <c r="D67" s="9">
        <f t="shared" si="18"/>
        <v>-1</v>
      </c>
      <c r="E67" s="9">
        <f t="shared" si="19"/>
        <v>53.80924884</v>
      </c>
      <c r="F67" s="2">
        <f>(E67-E60)/(A67-A60)</f>
        <v>0.1408281627</v>
      </c>
    </row>
    <row r="73">
      <c r="A73" s="9" t="s">
        <v>18</v>
      </c>
      <c r="B73" s="9" t="s">
        <v>21</v>
      </c>
    </row>
    <row r="74">
      <c r="A74" s="9">
        <v>3.0</v>
      </c>
      <c r="B74" s="9">
        <v>1.1259348275862069</v>
      </c>
    </row>
    <row r="75">
      <c r="A75" s="9">
        <v>6.0</v>
      </c>
      <c r="B75" s="9">
        <v>1.6860748275862067</v>
      </c>
    </row>
    <row r="76">
      <c r="A76" s="9">
        <v>12.0</v>
      </c>
      <c r="B76" s="9">
        <v>3.461324827586207</v>
      </c>
    </row>
    <row r="77">
      <c r="A77" s="9">
        <v>24.0</v>
      </c>
      <c r="B77" s="9">
        <v>7.003074827586207</v>
      </c>
    </row>
    <row r="78">
      <c r="A78" s="9">
        <v>48.0</v>
      </c>
      <c r="B78" s="9">
        <v>14.090224827586207</v>
      </c>
    </row>
    <row r="79">
      <c r="A79" s="9">
        <v>96.0</v>
      </c>
      <c r="B79" s="9">
        <v>28.35654482758621</v>
      </c>
    </row>
    <row r="80">
      <c r="A80" s="9">
        <v>192.0</v>
      </c>
      <c r="B80" s="9">
        <v>56.61526482758621</v>
      </c>
    </row>
    <row r="81">
      <c r="A81" s="9">
        <v>384.0</v>
      </c>
      <c r="B81" s="9">
        <v>113.31417482758621</v>
      </c>
    </row>
    <row r="84">
      <c r="A84" s="1" t="s">
        <v>2</v>
      </c>
      <c r="B84" s="1">
        <v>100000.0</v>
      </c>
      <c r="G84" s="1" t="s">
        <v>2</v>
      </c>
      <c r="H84" s="1">
        <v>100000.0</v>
      </c>
      <c r="J84" s="1" t="s">
        <v>2</v>
      </c>
      <c r="K84" s="1">
        <v>100000.0</v>
      </c>
    </row>
    <row r="85">
      <c r="A85" s="1" t="s">
        <v>25</v>
      </c>
      <c r="B85" s="1">
        <v>1000.0</v>
      </c>
      <c r="G85" s="1" t="s">
        <v>24</v>
      </c>
      <c r="H85" s="1">
        <v>64.0</v>
      </c>
      <c r="J85" s="1" t="s">
        <v>24</v>
      </c>
      <c r="K85" s="1">
        <v>64.0</v>
      </c>
    </row>
    <row r="86">
      <c r="A86" s="1" t="s">
        <v>24</v>
      </c>
      <c r="B86" s="1">
        <v>64.0</v>
      </c>
      <c r="G86" s="1" t="s">
        <v>18</v>
      </c>
      <c r="H86" s="1">
        <v>192.0</v>
      </c>
      <c r="J86" s="1" t="s">
        <v>18</v>
      </c>
      <c r="K86" s="1">
        <v>10.0</v>
      </c>
    </row>
    <row r="88">
      <c r="A88" s="1" t="s">
        <v>18</v>
      </c>
      <c r="B88" s="1" t="s">
        <v>9</v>
      </c>
      <c r="C88" s="1" t="s">
        <v>19</v>
      </c>
      <c r="D88" s="1" t="s">
        <v>20</v>
      </c>
      <c r="E88" s="1" t="s">
        <v>27</v>
      </c>
      <c r="G88" s="1" t="s">
        <v>25</v>
      </c>
      <c r="H88" s="1" t="s">
        <v>9</v>
      </c>
      <c r="J88" s="1" t="s">
        <v>25</v>
      </c>
      <c r="K88" s="1" t="s">
        <v>9</v>
      </c>
      <c r="L88" s="1" t="s">
        <v>60</v>
      </c>
    </row>
    <row r="89">
      <c r="A89" s="1">
        <v>3.0</v>
      </c>
      <c r="C89" s="1">
        <v>24.184</v>
      </c>
      <c r="D89" s="2" t="str">
        <f t="shared" ref="D89:D96" si="21">(C89-B89)/B89</f>
        <v>#DIV/0!</v>
      </c>
      <c r="E89" s="2">
        <f t="shared" ref="E89:E96" si="22">(B89-$K$9)/$B$85</f>
        <v>-0.008811116173</v>
      </c>
      <c r="G89" s="1">
        <v>10.0</v>
      </c>
      <c r="H89" s="1">
        <v>1593.224</v>
      </c>
      <c r="J89" s="1">
        <v>10.0</v>
      </c>
      <c r="K89" s="1">
        <v>27.832</v>
      </c>
      <c r="L89" s="2">
        <f>(K96-K92)/(J96-J92)</f>
        <v>0.1377908333</v>
      </c>
    </row>
    <row r="90">
      <c r="A90" s="1">
        <v>6.0</v>
      </c>
      <c r="C90" s="1">
        <v>26.09</v>
      </c>
      <c r="D90" s="2" t="str">
        <f t="shared" si="21"/>
        <v>#DIV/0!</v>
      </c>
      <c r="E90" s="2">
        <f t="shared" si="22"/>
        <v>-0.008811116173</v>
      </c>
      <c r="G90" s="2">
        <f t="shared" ref="G90:G97" si="23">G89*2</f>
        <v>20</v>
      </c>
      <c r="J90" s="2">
        <f t="shared" ref="J90:J96" si="24">J89*2</f>
        <v>20</v>
      </c>
      <c r="K90" s="1">
        <v>26.169</v>
      </c>
    </row>
    <row r="91">
      <c r="A91" s="1">
        <v>12.0</v>
      </c>
      <c r="C91" s="1">
        <v>35.679</v>
      </c>
      <c r="D91" s="2" t="str">
        <f t="shared" si="21"/>
        <v>#DIV/0!</v>
      </c>
      <c r="E91" s="2">
        <f t="shared" si="22"/>
        <v>-0.008811116173</v>
      </c>
      <c r="G91" s="2">
        <f t="shared" si="23"/>
        <v>40</v>
      </c>
      <c r="J91" s="2">
        <f t="shared" si="24"/>
        <v>40</v>
      </c>
      <c r="K91" s="1">
        <v>26.57</v>
      </c>
    </row>
    <row r="92">
      <c r="A92" s="1">
        <v>24.0</v>
      </c>
      <c r="C92" s="1">
        <v>86.068</v>
      </c>
      <c r="D92" s="2" t="str">
        <f t="shared" si="21"/>
        <v>#DIV/0!</v>
      </c>
      <c r="E92" s="2">
        <f t="shared" si="22"/>
        <v>-0.008811116173</v>
      </c>
      <c r="G92" s="2">
        <f t="shared" si="23"/>
        <v>80</v>
      </c>
      <c r="J92" s="2">
        <f t="shared" si="24"/>
        <v>80</v>
      </c>
      <c r="K92" s="1">
        <v>27.6</v>
      </c>
    </row>
    <row r="93">
      <c r="A93" s="2">
        <f>A94/2</f>
        <v>48</v>
      </c>
      <c r="C93" s="1">
        <v>206.831</v>
      </c>
      <c r="D93" s="2" t="str">
        <f t="shared" si="21"/>
        <v>#DIV/0!</v>
      </c>
      <c r="E93" s="2">
        <f t="shared" si="22"/>
        <v>-0.008811116173</v>
      </c>
      <c r="G93" s="2">
        <f t="shared" si="23"/>
        <v>160</v>
      </c>
      <c r="J93" s="2">
        <f t="shared" si="24"/>
        <v>160</v>
      </c>
      <c r="K93" s="1">
        <v>35.517</v>
      </c>
    </row>
    <row r="94">
      <c r="A94" s="1">
        <v>96.0</v>
      </c>
      <c r="C94" s="1">
        <v>598.599</v>
      </c>
      <c r="D94" s="2" t="str">
        <f t="shared" si="21"/>
        <v>#DIV/0!</v>
      </c>
      <c r="E94" s="2">
        <f t="shared" si="22"/>
        <v>-0.008811116173</v>
      </c>
      <c r="G94" s="2">
        <f t="shared" si="23"/>
        <v>320</v>
      </c>
      <c r="J94" s="2">
        <f t="shared" si="24"/>
        <v>320</v>
      </c>
      <c r="K94" s="1">
        <v>56.672</v>
      </c>
    </row>
    <row r="95">
      <c r="A95" s="2">
        <f t="shared" ref="A95:A96" si="25">2*A94</f>
        <v>192</v>
      </c>
      <c r="B95" s="1">
        <v>1586.199</v>
      </c>
      <c r="C95" s="1">
        <v>1581.01</v>
      </c>
      <c r="D95" s="2">
        <f t="shared" si="21"/>
        <v>-0.003271342373</v>
      </c>
      <c r="E95" s="2">
        <f t="shared" si="22"/>
        <v>1.577387884</v>
      </c>
      <c r="G95" s="2">
        <f t="shared" si="23"/>
        <v>640</v>
      </c>
      <c r="J95" s="2">
        <f t="shared" si="24"/>
        <v>640</v>
      </c>
      <c r="K95" s="1">
        <v>102.157</v>
      </c>
    </row>
    <row r="96">
      <c r="A96" s="2">
        <f t="shared" si="25"/>
        <v>384</v>
      </c>
      <c r="B96" s="1">
        <v>5033.35</v>
      </c>
      <c r="D96" s="2">
        <f t="shared" si="21"/>
        <v>-1</v>
      </c>
      <c r="E96" s="2">
        <f t="shared" si="22"/>
        <v>5.024538884</v>
      </c>
      <c r="G96" s="2">
        <f t="shared" si="23"/>
        <v>1280</v>
      </c>
      <c r="J96" s="2">
        <f t="shared" si="24"/>
        <v>1280</v>
      </c>
      <c r="K96" s="1">
        <v>192.949</v>
      </c>
    </row>
    <row r="97">
      <c r="G97" s="2">
        <f t="shared" si="23"/>
        <v>2560</v>
      </c>
    </row>
    <row r="102">
      <c r="A102" s="1" t="s">
        <v>2</v>
      </c>
      <c r="B102" s="1">
        <v>100000.0</v>
      </c>
      <c r="E102" s="1" t="s">
        <v>2</v>
      </c>
      <c r="F102" s="1">
        <v>100000.0</v>
      </c>
      <c r="I102" s="1" t="s">
        <v>2</v>
      </c>
      <c r="J102" s="1">
        <v>100000.0</v>
      </c>
      <c r="L102" s="1" t="s">
        <v>2</v>
      </c>
      <c r="M102" s="1">
        <v>100000.0</v>
      </c>
      <c r="O102" s="1" t="s">
        <v>2</v>
      </c>
      <c r="P102" s="1">
        <v>100000.0</v>
      </c>
      <c r="R102" s="1" t="s">
        <v>2</v>
      </c>
      <c r="S102" s="1">
        <v>100000.0</v>
      </c>
      <c r="U102" s="1" t="s">
        <v>2</v>
      </c>
      <c r="V102" s="1">
        <v>100000.0</v>
      </c>
      <c r="X102" s="1" t="s">
        <v>2</v>
      </c>
      <c r="Y102" s="1">
        <v>100000.0</v>
      </c>
    </row>
    <row r="103">
      <c r="A103" s="1" t="s">
        <v>24</v>
      </c>
      <c r="B103" s="1">
        <v>64.0</v>
      </c>
      <c r="E103" s="1" t="s">
        <v>24</v>
      </c>
      <c r="F103" s="1">
        <v>64.0</v>
      </c>
      <c r="I103" s="1" t="s">
        <v>24</v>
      </c>
      <c r="J103" s="1">
        <v>64.0</v>
      </c>
      <c r="L103" s="1" t="s">
        <v>24</v>
      </c>
      <c r="M103" s="1">
        <v>64.0</v>
      </c>
      <c r="O103" s="1" t="s">
        <v>24</v>
      </c>
      <c r="P103" s="1">
        <v>64.0</v>
      </c>
      <c r="R103" s="1" t="s">
        <v>24</v>
      </c>
      <c r="S103" s="1">
        <v>64.0</v>
      </c>
      <c r="U103" s="1" t="s">
        <v>24</v>
      </c>
      <c r="V103" s="1">
        <v>64.0</v>
      </c>
      <c r="X103" s="1" t="s">
        <v>24</v>
      </c>
      <c r="Y103" s="1">
        <v>64.0</v>
      </c>
    </row>
    <row r="104">
      <c r="A104" s="1" t="s">
        <v>18</v>
      </c>
      <c r="B104" s="1">
        <v>3.0</v>
      </c>
      <c r="E104" s="1" t="s">
        <v>18</v>
      </c>
      <c r="F104" s="1">
        <v>6.0</v>
      </c>
      <c r="I104" s="1" t="s">
        <v>18</v>
      </c>
      <c r="J104" s="1">
        <v>12.0</v>
      </c>
      <c r="L104" s="1" t="s">
        <v>18</v>
      </c>
      <c r="M104" s="1">
        <v>24.0</v>
      </c>
      <c r="O104" s="1" t="s">
        <v>18</v>
      </c>
      <c r="P104" s="1">
        <v>48.0</v>
      </c>
      <c r="R104" s="1" t="s">
        <v>18</v>
      </c>
      <c r="S104" s="1">
        <v>96.0</v>
      </c>
      <c r="U104" s="1" t="s">
        <v>18</v>
      </c>
      <c r="V104" s="1">
        <v>192.0</v>
      </c>
      <c r="X104" s="1" t="s">
        <v>18</v>
      </c>
      <c r="Y104" s="1">
        <f>2*192</f>
        <v>384</v>
      </c>
    </row>
    <row r="106">
      <c r="A106" s="1" t="s">
        <v>25</v>
      </c>
      <c r="B106" s="1" t="s">
        <v>9</v>
      </c>
      <c r="C106" s="10" t="s">
        <v>60</v>
      </c>
      <c r="E106" s="1" t="s">
        <v>25</v>
      </c>
      <c r="F106" s="1" t="s">
        <v>9</v>
      </c>
      <c r="G106" s="10" t="s">
        <v>60</v>
      </c>
      <c r="I106" s="1" t="s">
        <v>25</v>
      </c>
      <c r="J106" s="1" t="s">
        <v>9</v>
      </c>
      <c r="K106" s="10" t="s">
        <v>60</v>
      </c>
      <c r="L106" s="1" t="s">
        <v>25</v>
      </c>
      <c r="M106" s="1" t="s">
        <v>9</v>
      </c>
      <c r="N106" s="10" t="s">
        <v>60</v>
      </c>
      <c r="O106" s="1" t="s">
        <v>25</v>
      </c>
      <c r="P106" s="1" t="s">
        <v>9</v>
      </c>
      <c r="Q106" s="10" t="s">
        <v>60</v>
      </c>
      <c r="R106" s="1" t="s">
        <v>25</v>
      </c>
      <c r="S106" s="1" t="s">
        <v>9</v>
      </c>
      <c r="T106" s="10" t="s">
        <v>60</v>
      </c>
      <c r="U106" s="1" t="s">
        <v>25</v>
      </c>
      <c r="V106" s="1" t="s">
        <v>9</v>
      </c>
      <c r="W106" s="10" t="s">
        <v>60</v>
      </c>
      <c r="X106" s="1" t="s">
        <v>25</v>
      </c>
      <c r="Y106" s="1" t="s">
        <v>9</v>
      </c>
      <c r="Z106" s="10" t="s">
        <v>60</v>
      </c>
    </row>
    <row r="107">
      <c r="A107" s="1">
        <v>10.0</v>
      </c>
      <c r="B107" s="1">
        <v>14.19</v>
      </c>
      <c r="C107" s="11">
        <f>(B114-B109)/(A114-A109)</f>
        <v>0.1404435484</v>
      </c>
      <c r="E107" s="1">
        <v>10.0</v>
      </c>
      <c r="F107" s="1">
        <v>17.033</v>
      </c>
      <c r="G107" s="11">
        <f>(F114-F109)/(E114-E109)</f>
        <v>0.138616129</v>
      </c>
      <c r="I107" s="1">
        <v>10.0</v>
      </c>
      <c r="J107" s="1">
        <v>28.953</v>
      </c>
      <c r="K107" s="11">
        <f>(J114-J110)/(I114-I110)</f>
        <v>0.1349558333</v>
      </c>
      <c r="L107" s="1">
        <v>10.0</v>
      </c>
      <c r="M107" s="1">
        <v>85.78</v>
      </c>
      <c r="N107" s="11">
        <f>(M115-M113)/(L115-L113)</f>
        <v>0.1527046875</v>
      </c>
      <c r="O107" s="1">
        <v>10.0</v>
      </c>
      <c r="P107" s="1">
        <v>217.215</v>
      </c>
      <c r="Q107" s="11">
        <f>(P117-P114)/(O117-O114)</f>
        <v>0.1608194196</v>
      </c>
      <c r="R107" s="1">
        <v>10.0</v>
      </c>
      <c r="T107" s="2">
        <f>(S117-S115)/(R117-R115)</f>
        <v>0.3250476563</v>
      </c>
      <c r="U107" s="1">
        <v>10.0</v>
      </c>
      <c r="W107" s="2">
        <f>(V117-V115)/(U117-U115)</f>
        <v>0.6497832031</v>
      </c>
      <c r="X107" s="1">
        <v>10.0</v>
      </c>
      <c r="Z107" s="2">
        <f>(Y117-Y116)/(X117-X116)</f>
        <v>1.265365039</v>
      </c>
    </row>
    <row r="108">
      <c r="A108" s="2">
        <f t="shared" ref="A108:A114" si="26">A107*2</f>
        <v>20</v>
      </c>
      <c r="B108" s="1">
        <v>15.09</v>
      </c>
      <c r="E108" s="2">
        <f t="shared" ref="E108:E114" si="27">E107*2</f>
        <v>20</v>
      </c>
      <c r="F108" s="1">
        <v>18.424</v>
      </c>
      <c r="I108" s="2">
        <f t="shared" ref="I108:I114" si="28">I107*2</f>
        <v>20</v>
      </c>
      <c r="J108" s="1">
        <v>29.576</v>
      </c>
      <c r="L108" s="2">
        <f t="shared" ref="L108:L115" si="29">L107*2</f>
        <v>20</v>
      </c>
      <c r="M108" s="1">
        <v>86.066</v>
      </c>
      <c r="O108" s="2">
        <f t="shared" ref="O108:O120" si="30">O107*2</f>
        <v>20</v>
      </c>
      <c r="P108" s="1">
        <v>217.794</v>
      </c>
      <c r="R108" s="2">
        <f t="shared" ref="R108:R120" si="31">R107*2</f>
        <v>20</v>
      </c>
      <c r="U108" s="2">
        <f t="shared" ref="U108:U120" si="32">U107*2</f>
        <v>20</v>
      </c>
      <c r="X108" s="2">
        <f t="shared" ref="X108:X120" si="33">X107*2</f>
        <v>20</v>
      </c>
    </row>
    <row r="109">
      <c r="A109" s="2">
        <f t="shared" si="26"/>
        <v>40</v>
      </c>
      <c r="B109" s="1">
        <v>16.81</v>
      </c>
      <c r="E109" s="2">
        <f t="shared" si="27"/>
        <v>40</v>
      </c>
      <c r="F109" s="1">
        <v>19.135</v>
      </c>
      <c r="I109" s="2">
        <f t="shared" si="28"/>
        <v>40</v>
      </c>
      <c r="J109" s="1">
        <v>30.651</v>
      </c>
      <c r="L109" s="2">
        <f t="shared" si="29"/>
        <v>40</v>
      </c>
      <c r="M109" s="1">
        <v>84.555</v>
      </c>
      <c r="O109" s="2">
        <f t="shared" si="30"/>
        <v>40</v>
      </c>
      <c r="P109" s="1">
        <v>216.481</v>
      </c>
      <c r="R109" s="2">
        <f t="shared" si="31"/>
        <v>40</v>
      </c>
      <c r="U109" s="2">
        <f t="shared" si="32"/>
        <v>40</v>
      </c>
      <c r="X109" s="2">
        <f t="shared" si="33"/>
        <v>40</v>
      </c>
    </row>
    <row r="110">
      <c r="A110" s="2">
        <f t="shared" si="26"/>
        <v>80</v>
      </c>
      <c r="B110" s="1">
        <v>22.035</v>
      </c>
      <c r="E110" s="2">
        <f t="shared" si="27"/>
        <v>80</v>
      </c>
      <c r="F110" s="1">
        <v>23.537</v>
      </c>
      <c r="I110" s="2">
        <f t="shared" si="28"/>
        <v>80</v>
      </c>
      <c r="J110" s="1">
        <v>31.631</v>
      </c>
      <c r="L110" s="2">
        <f t="shared" si="29"/>
        <v>80</v>
      </c>
      <c r="M110" s="1">
        <v>85.456</v>
      </c>
      <c r="O110" s="2">
        <f t="shared" si="30"/>
        <v>80</v>
      </c>
      <c r="R110" s="2">
        <f t="shared" si="31"/>
        <v>80</v>
      </c>
      <c r="U110" s="2">
        <f t="shared" si="32"/>
        <v>80</v>
      </c>
      <c r="X110" s="2">
        <f t="shared" si="33"/>
        <v>80</v>
      </c>
    </row>
    <row r="111">
      <c r="A111" s="2">
        <f t="shared" si="26"/>
        <v>160</v>
      </c>
      <c r="B111" s="1">
        <v>33.774</v>
      </c>
      <c r="E111" s="2">
        <f t="shared" si="27"/>
        <v>160</v>
      </c>
      <c r="F111" s="1">
        <v>33.216</v>
      </c>
      <c r="I111" s="2">
        <f t="shared" si="28"/>
        <v>160</v>
      </c>
      <c r="J111" s="1">
        <v>42.244</v>
      </c>
      <c r="L111" s="2">
        <f t="shared" si="29"/>
        <v>160</v>
      </c>
      <c r="M111" s="1">
        <v>87.295</v>
      </c>
      <c r="O111" s="2">
        <f t="shared" si="30"/>
        <v>160</v>
      </c>
      <c r="R111" s="2">
        <f t="shared" si="31"/>
        <v>160</v>
      </c>
      <c r="U111" s="2">
        <f t="shared" si="32"/>
        <v>160</v>
      </c>
      <c r="X111" s="2">
        <f t="shared" si="33"/>
        <v>160</v>
      </c>
    </row>
    <row r="112">
      <c r="A112" s="2">
        <f t="shared" si="26"/>
        <v>320</v>
      </c>
      <c r="B112" s="1">
        <v>55.094</v>
      </c>
      <c r="E112" s="2">
        <f t="shared" si="27"/>
        <v>320</v>
      </c>
      <c r="F112" s="1">
        <v>55.032</v>
      </c>
      <c r="I112" s="2">
        <f t="shared" si="28"/>
        <v>320</v>
      </c>
      <c r="J112" s="1">
        <v>59.24</v>
      </c>
      <c r="L112" s="2">
        <f t="shared" si="29"/>
        <v>320</v>
      </c>
      <c r="M112" s="1">
        <v>88.614</v>
      </c>
      <c r="O112" s="2">
        <f t="shared" si="30"/>
        <v>320</v>
      </c>
      <c r="P112" s="1">
        <v>213.23</v>
      </c>
      <c r="R112" s="2">
        <f t="shared" si="31"/>
        <v>320</v>
      </c>
      <c r="U112" s="2">
        <f t="shared" si="32"/>
        <v>320</v>
      </c>
      <c r="X112" s="2">
        <f t="shared" si="33"/>
        <v>320</v>
      </c>
    </row>
    <row r="113">
      <c r="A113" s="2">
        <f t="shared" si="26"/>
        <v>640</v>
      </c>
      <c r="B113" s="1">
        <v>101.11</v>
      </c>
      <c r="E113" s="2">
        <f t="shared" si="27"/>
        <v>640</v>
      </c>
      <c r="F113" s="1">
        <v>102.076</v>
      </c>
      <c r="I113" s="2">
        <f t="shared" si="28"/>
        <v>640</v>
      </c>
      <c r="J113" s="1">
        <v>103.265</v>
      </c>
      <c r="L113" s="2">
        <f t="shared" si="29"/>
        <v>640</v>
      </c>
      <c r="M113" s="1">
        <v>120.403</v>
      </c>
      <c r="O113" s="2">
        <f t="shared" si="30"/>
        <v>640</v>
      </c>
      <c r="P113" s="1">
        <v>222.295</v>
      </c>
      <c r="R113" s="2">
        <f t="shared" si="31"/>
        <v>640</v>
      </c>
      <c r="S113" s="1">
        <v>582.788</v>
      </c>
      <c r="U113" s="2">
        <f t="shared" si="32"/>
        <v>640</v>
      </c>
      <c r="X113" s="2">
        <f t="shared" si="33"/>
        <v>640</v>
      </c>
    </row>
    <row r="114">
      <c r="A114" s="2">
        <f t="shared" si="26"/>
        <v>1280</v>
      </c>
      <c r="B114" s="1">
        <v>190.96</v>
      </c>
      <c r="E114" s="2">
        <f t="shared" si="27"/>
        <v>1280</v>
      </c>
      <c r="F114" s="1">
        <v>191.019</v>
      </c>
      <c r="I114" s="2">
        <f t="shared" si="28"/>
        <v>1280</v>
      </c>
      <c r="J114" s="1">
        <v>193.578</v>
      </c>
      <c r="L114" s="2">
        <f t="shared" si="29"/>
        <v>1280</v>
      </c>
      <c r="M114" s="1">
        <v>215.693</v>
      </c>
      <c r="O114" s="2">
        <f t="shared" si="30"/>
        <v>1280</v>
      </c>
      <c r="P114" s="1">
        <v>243.529</v>
      </c>
      <c r="R114" s="2">
        <f t="shared" si="31"/>
        <v>1280</v>
      </c>
      <c r="S114" s="1">
        <v>611.678</v>
      </c>
      <c r="U114" s="2">
        <f t="shared" si="32"/>
        <v>1280</v>
      </c>
      <c r="V114" s="1">
        <v>1582.753</v>
      </c>
      <c r="X114" s="2">
        <f t="shared" si="33"/>
        <v>1280</v>
      </c>
    </row>
    <row r="115">
      <c r="L115" s="2">
        <f t="shared" si="29"/>
        <v>2560</v>
      </c>
      <c r="M115" s="1">
        <v>413.596</v>
      </c>
      <c r="O115" s="2">
        <f t="shared" si="30"/>
        <v>2560</v>
      </c>
      <c r="P115" s="1">
        <v>440.668</v>
      </c>
      <c r="R115" s="2">
        <f t="shared" si="31"/>
        <v>2560</v>
      </c>
      <c r="S115" s="1">
        <v>837.395</v>
      </c>
      <c r="U115" s="2">
        <f t="shared" si="32"/>
        <v>2560</v>
      </c>
      <c r="V115" s="1">
        <v>1674.787</v>
      </c>
      <c r="X115" s="2">
        <f t="shared" si="33"/>
        <v>2560</v>
      </c>
      <c r="Y115" s="1">
        <v>5345.524</v>
      </c>
    </row>
    <row r="116">
      <c r="O116" s="2">
        <f t="shared" si="30"/>
        <v>5120</v>
      </c>
      <c r="P116" s="1">
        <v>851.688</v>
      </c>
      <c r="R116" s="2">
        <f t="shared" si="31"/>
        <v>5120</v>
      </c>
      <c r="S116" s="1">
        <v>1668.991</v>
      </c>
      <c r="U116" s="2">
        <f t="shared" si="32"/>
        <v>5120</v>
      </c>
      <c r="V116" s="1">
        <v>3338.232</v>
      </c>
      <c r="X116" s="2">
        <f t="shared" si="33"/>
        <v>5120</v>
      </c>
      <c r="Y116" s="1">
        <v>6610.225</v>
      </c>
    </row>
    <row r="117">
      <c r="O117" s="2">
        <f t="shared" si="30"/>
        <v>10240</v>
      </c>
      <c r="P117" s="1">
        <v>1684.471</v>
      </c>
      <c r="R117" s="2">
        <f t="shared" si="31"/>
        <v>10240</v>
      </c>
      <c r="S117" s="1">
        <v>3333.761</v>
      </c>
      <c r="U117" s="2">
        <f t="shared" si="32"/>
        <v>10240</v>
      </c>
      <c r="V117" s="1">
        <v>6665.122</v>
      </c>
      <c r="X117" s="2">
        <f t="shared" si="33"/>
        <v>10240</v>
      </c>
      <c r="Y117" s="1">
        <v>13088.894</v>
      </c>
    </row>
    <row r="118">
      <c r="O118" s="2">
        <f t="shared" si="30"/>
        <v>20480</v>
      </c>
      <c r="R118" s="2">
        <f t="shared" si="31"/>
        <v>20480</v>
      </c>
      <c r="U118" s="2">
        <f t="shared" si="32"/>
        <v>20480</v>
      </c>
      <c r="X118" s="2">
        <f t="shared" si="33"/>
        <v>20480</v>
      </c>
    </row>
    <row r="119">
      <c r="O119" s="2">
        <f t="shared" si="30"/>
        <v>40960</v>
      </c>
      <c r="R119" s="2">
        <f t="shared" si="31"/>
        <v>40960</v>
      </c>
      <c r="U119" s="2">
        <f t="shared" si="32"/>
        <v>40960</v>
      </c>
      <c r="X119" s="2">
        <f t="shared" si="33"/>
        <v>40960</v>
      </c>
    </row>
    <row r="120">
      <c r="A120" s="1" t="s">
        <v>18</v>
      </c>
      <c r="B120" s="1" t="s">
        <v>27</v>
      </c>
      <c r="O120" s="2">
        <f t="shared" si="30"/>
        <v>81920</v>
      </c>
      <c r="R120" s="2">
        <f t="shared" si="31"/>
        <v>81920</v>
      </c>
      <c r="U120" s="2">
        <f t="shared" si="32"/>
        <v>81920</v>
      </c>
      <c r="X120" s="2">
        <f t="shared" si="33"/>
        <v>81920</v>
      </c>
    </row>
    <row r="121">
      <c r="A121" s="1">
        <v>3.0</v>
      </c>
      <c r="B121" s="2">
        <v>0.14044354838709677</v>
      </c>
    </row>
    <row r="122">
      <c r="A122" s="1">
        <v>6.0</v>
      </c>
      <c r="B122" s="2">
        <v>0.1386161290322581</v>
      </c>
    </row>
    <row r="123">
      <c r="A123" s="1">
        <v>12.0</v>
      </c>
      <c r="B123" s="1">
        <v>0.1349558333</v>
      </c>
    </row>
    <row r="124">
      <c r="A124" s="1">
        <v>24.0</v>
      </c>
      <c r="B124" s="2">
        <v>0.1527046875</v>
      </c>
    </row>
    <row r="125">
      <c r="A125" s="2">
        <f>A126/2</f>
        <v>48</v>
      </c>
      <c r="B125" s="2">
        <v>0.16081941964285715</v>
      </c>
    </row>
    <row r="126">
      <c r="A126" s="1">
        <v>96.0</v>
      </c>
      <c r="B126" s="2">
        <v>0.32504765625</v>
      </c>
    </row>
    <row r="127">
      <c r="A127" s="2">
        <f t="shared" ref="A127:A128" si="34">2*A126</f>
        <v>192</v>
      </c>
      <c r="B127" s="2">
        <v>0.649783203125</v>
      </c>
    </row>
    <row r="128">
      <c r="A128" s="2">
        <f t="shared" si="34"/>
        <v>384</v>
      </c>
      <c r="B128" s="2">
        <v>1.2653650390625</v>
      </c>
    </row>
  </sheetData>
  <mergeCells count="2">
    <mergeCell ref="A1:N2"/>
    <mergeCell ref="A52:N5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</cols>
  <sheetData>
    <row r="4">
      <c r="A4" s="8" t="s">
        <v>18</v>
      </c>
      <c r="B4" s="8" t="s">
        <v>61</v>
      </c>
    </row>
    <row r="5">
      <c r="A5" s="8">
        <v>3.0</v>
      </c>
      <c r="B5" s="8">
        <v>0.226</v>
      </c>
    </row>
    <row r="6">
      <c r="A6" s="9">
        <f t="shared" ref="A6:A12" si="1">2*A5</f>
        <v>6</v>
      </c>
      <c r="B6" s="8">
        <v>0.235</v>
      </c>
    </row>
    <row r="7">
      <c r="A7" s="9">
        <f t="shared" si="1"/>
        <v>12</v>
      </c>
      <c r="B7" s="8">
        <v>0.238</v>
      </c>
    </row>
    <row r="8">
      <c r="A8" s="9">
        <f t="shared" si="1"/>
        <v>24</v>
      </c>
      <c r="B8" s="8">
        <v>0.238</v>
      </c>
    </row>
    <row r="9">
      <c r="A9" s="9">
        <f t="shared" si="1"/>
        <v>48</v>
      </c>
      <c r="B9" s="8">
        <v>0.234</v>
      </c>
    </row>
    <row r="10">
      <c r="A10" s="9">
        <f t="shared" si="1"/>
        <v>96</v>
      </c>
      <c r="B10" s="8">
        <v>0.249</v>
      </c>
    </row>
    <row r="11">
      <c r="A11" s="9">
        <f t="shared" si="1"/>
        <v>192</v>
      </c>
      <c r="B11" s="8">
        <v>0.492</v>
      </c>
    </row>
    <row r="12">
      <c r="A12" s="9">
        <f t="shared" si="1"/>
        <v>384</v>
      </c>
      <c r="B12" s="8">
        <v>0.905</v>
      </c>
    </row>
    <row r="22">
      <c r="A22" s="16" t="s">
        <v>62</v>
      </c>
    </row>
    <row r="27">
      <c r="A27" s="17" t="s">
        <v>63</v>
      </c>
    </row>
    <row r="28">
      <c r="A28" s="1" t="s">
        <v>64</v>
      </c>
    </row>
    <row r="29">
      <c r="A29" s="1" t="s">
        <v>65</v>
      </c>
      <c r="B29" s="1" t="s">
        <v>66</v>
      </c>
    </row>
    <row r="30">
      <c r="A30" s="1" t="s">
        <v>67</v>
      </c>
      <c r="B30" s="1">
        <v>1.0</v>
      </c>
    </row>
    <row r="31">
      <c r="A31" s="1" t="s">
        <v>68</v>
      </c>
      <c r="B31" s="1" t="s">
        <v>69</v>
      </c>
      <c r="C31" s="1" t="s">
        <v>70</v>
      </c>
      <c r="G31" s="8" t="s">
        <v>68</v>
      </c>
      <c r="H31" s="8" t="s">
        <v>69</v>
      </c>
      <c r="I31" s="8" t="s">
        <v>70</v>
      </c>
    </row>
    <row r="32">
      <c r="A32" s="1">
        <v>1.0</v>
      </c>
      <c r="B32" s="1">
        <v>28.6</v>
      </c>
      <c r="C32" s="1">
        <v>7.331</v>
      </c>
      <c r="G32" s="8">
        <v>1.0</v>
      </c>
      <c r="H32" s="8">
        <v>28.5</v>
      </c>
      <c r="I32" s="8">
        <v>7.3</v>
      </c>
    </row>
    <row r="33">
      <c r="A33" s="1">
        <v>3.0</v>
      </c>
      <c r="B33" s="1">
        <v>87.1</v>
      </c>
      <c r="C33" s="1">
        <v>22.3</v>
      </c>
      <c r="G33" s="8">
        <v>3.0</v>
      </c>
      <c r="H33" s="8">
        <v>85.6</v>
      </c>
      <c r="I33" s="8">
        <v>21.9</v>
      </c>
    </row>
    <row r="34">
      <c r="A34" s="2">
        <f t="shared" ref="A34:A40" si="2">2*A33</f>
        <v>6</v>
      </c>
      <c r="B34" s="1">
        <v>167.0</v>
      </c>
      <c r="C34" s="1">
        <v>42.5</v>
      </c>
      <c r="G34" s="9">
        <f t="shared" ref="G34:G40" si="3">2*G33</f>
        <v>6</v>
      </c>
      <c r="H34" s="8">
        <v>169.0</v>
      </c>
      <c r="I34" s="8">
        <v>43.2</v>
      </c>
    </row>
    <row r="35">
      <c r="A35" s="2">
        <f t="shared" si="2"/>
        <v>12</v>
      </c>
      <c r="B35" s="1">
        <v>306.0</v>
      </c>
      <c r="C35" s="1">
        <v>78.4</v>
      </c>
      <c r="E35" s="18" t="s">
        <v>71</v>
      </c>
      <c r="G35" s="9">
        <f t="shared" si="3"/>
        <v>12</v>
      </c>
      <c r="H35" s="8">
        <v>307.0</v>
      </c>
      <c r="I35" s="8">
        <v>78.6</v>
      </c>
    </row>
    <row r="36">
      <c r="A36" s="2">
        <f t="shared" si="2"/>
        <v>24</v>
      </c>
      <c r="B36" s="1">
        <v>470.0</v>
      </c>
      <c r="C36" s="1">
        <v>120.0</v>
      </c>
      <c r="G36" s="9">
        <f t="shared" si="3"/>
        <v>24</v>
      </c>
      <c r="H36" s="8">
        <v>470.0</v>
      </c>
      <c r="I36" s="8">
        <v>120.0</v>
      </c>
    </row>
    <row r="37">
      <c r="A37" s="2">
        <f t="shared" si="2"/>
        <v>48</v>
      </c>
      <c r="B37" s="1">
        <v>522.0</v>
      </c>
      <c r="C37" s="1">
        <v>134.0</v>
      </c>
      <c r="G37" s="9">
        <f t="shared" si="3"/>
        <v>48</v>
      </c>
      <c r="H37" s="8">
        <v>525.0</v>
      </c>
      <c r="I37" s="8">
        <v>134.0</v>
      </c>
    </row>
    <row r="38">
      <c r="A38" s="2">
        <f t="shared" si="2"/>
        <v>96</v>
      </c>
      <c r="B38" s="1">
        <v>521.0</v>
      </c>
      <c r="C38" s="1">
        <v>133.0</v>
      </c>
      <c r="G38" s="9">
        <f t="shared" si="3"/>
        <v>96</v>
      </c>
      <c r="H38" s="8">
        <v>525.0</v>
      </c>
      <c r="I38" s="8">
        <v>134.0</v>
      </c>
    </row>
    <row r="39">
      <c r="A39" s="2">
        <f t="shared" si="2"/>
        <v>192</v>
      </c>
      <c r="B39" s="1">
        <v>521.0</v>
      </c>
      <c r="C39" s="1">
        <v>133.0</v>
      </c>
      <c r="G39" s="9">
        <f t="shared" si="3"/>
        <v>192</v>
      </c>
      <c r="H39" s="8">
        <v>521.0</v>
      </c>
      <c r="I39" s="8">
        <v>133.0</v>
      </c>
    </row>
    <row r="40">
      <c r="A40" s="2">
        <f t="shared" si="2"/>
        <v>384</v>
      </c>
      <c r="B40" s="1">
        <v>521.0</v>
      </c>
      <c r="C40" s="1">
        <v>133.0</v>
      </c>
      <c r="G40" s="9">
        <f t="shared" si="3"/>
        <v>384</v>
      </c>
      <c r="H40" s="8">
        <v>521.0</v>
      </c>
      <c r="I40" s="8">
        <v>134.0</v>
      </c>
    </row>
    <row r="42">
      <c r="A42" s="17" t="s">
        <v>72</v>
      </c>
      <c r="L42" s="19"/>
    </row>
    <row r="44">
      <c r="A44" s="1" t="s">
        <v>73</v>
      </c>
      <c r="B44" s="1" t="s">
        <v>69</v>
      </c>
      <c r="C44" s="1" t="s">
        <v>70</v>
      </c>
      <c r="G44" s="8" t="s">
        <v>73</v>
      </c>
      <c r="H44" s="8" t="s">
        <v>69</v>
      </c>
      <c r="I44" s="8" t="s">
        <v>70</v>
      </c>
    </row>
    <row r="45">
      <c r="A45" s="1">
        <v>1.0</v>
      </c>
      <c r="G45" s="8">
        <v>1.0</v>
      </c>
      <c r="H45" s="8">
        <v>28.4</v>
      </c>
      <c r="I45" s="8">
        <v>7.25</v>
      </c>
    </row>
    <row r="46">
      <c r="A46" s="1">
        <v>3.0</v>
      </c>
      <c r="G46" s="8">
        <v>3.0</v>
      </c>
      <c r="H46" s="8">
        <v>84.8</v>
      </c>
      <c r="I46" s="8">
        <v>21.7</v>
      </c>
    </row>
    <row r="47">
      <c r="A47" s="2">
        <f t="shared" ref="A47:A53" si="4">2*A46</f>
        <v>6</v>
      </c>
      <c r="E47" s="18" t="s">
        <v>71</v>
      </c>
      <c r="G47" s="9">
        <f t="shared" ref="G47:G53" si="5">2*G46</f>
        <v>6</v>
      </c>
      <c r="H47" s="8">
        <v>165.0</v>
      </c>
      <c r="I47" s="8">
        <v>42.3</v>
      </c>
    </row>
    <row r="48">
      <c r="A48" s="2">
        <f t="shared" si="4"/>
        <v>12</v>
      </c>
      <c r="G48" s="9">
        <f t="shared" si="5"/>
        <v>12</v>
      </c>
      <c r="H48" s="8">
        <v>306.0</v>
      </c>
      <c r="I48" s="8">
        <v>78.3</v>
      </c>
    </row>
    <row r="49">
      <c r="A49" s="2">
        <f t="shared" si="4"/>
        <v>24</v>
      </c>
      <c r="G49" s="9">
        <f t="shared" si="5"/>
        <v>24</v>
      </c>
      <c r="H49" s="8">
        <v>468.0</v>
      </c>
      <c r="I49" s="8">
        <v>120.0</v>
      </c>
    </row>
    <row r="50">
      <c r="A50" s="2">
        <f t="shared" si="4"/>
        <v>48</v>
      </c>
      <c r="G50" s="9">
        <f t="shared" si="5"/>
        <v>48</v>
      </c>
      <c r="H50" s="8">
        <v>524.0</v>
      </c>
      <c r="I50" s="8">
        <v>134.0</v>
      </c>
    </row>
    <row r="51">
      <c r="A51" s="2">
        <f t="shared" si="4"/>
        <v>96</v>
      </c>
      <c r="B51" s="1">
        <v>496.0</v>
      </c>
      <c r="C51" s="1">
        <v>127.0</v>
      </c>
      <c r="G51" s="9">
        <f t="shared" si="5"/>
        <v>96</v>
      </c>
      <c r="H51" s="8">
        <v>523.0</v>
      </c>
      <c r="I51" s="8">
        <v>134.0</v>
      </c>
    </row>
    <row r="52">
      <c r="A52" s="2">
        <f t="shared" si="4"/>
        <v>192</v>
      </c>
      <c r="B52" s="1">
        <v>495.0</v>
      </c>
      <c r="C52" s="1">
        <v>127.0</v>
      </c>
      <c r="G52" s="9">
        <f t="shared" si="5"/>
        <v>192</v>
      </c>
      <c r="H52" s="8">
        <v>504.0</v>
      </c>
      <c r="I52" s="8">
        <v>129.0</v>
      </c>
    </row>
    <row r="53">
      <c r="A53" s="2">
        <f t="shared" si="4"/>
        <v>384</v>
      </c>
      <c r="G53" s="9">
        <f t="shared" si="5"/>
        <v>384</v>
      </c>
      <c r="H53" s="8">
        <v>151.0</v>
      </c>
      <c r="I53" s="8">
        <v>38.6</v>
      </c>
    </row>
  </sheetData>
  <mergeCells count="5">
    <mergeCell ref="A22:G24"/>
    <mergeCell ref="A27:G27"/>
    <mergeCell ref="E35:F37"/>
    <mergeCell ref="A42:G42"/>
    <mergeCell ref="E47:F4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A8" s="1" t="s">
        <v>74</v>
      </c>
      <c r="B8" s="1" t="s">
        <v>75</v>
      </c>
    </row>
    <row r="9">
      <c r="A9" s="1">
        <v>10.0</v>
      </c>
      <c r="B9" s="2">
        <f t="shared" ref="B9:B14" si="1">3*A9/LOG(A9,2)</f>
        <v>9.03089987</v>
      </c>
      <c r="C9" s="2">
        <f t="shared" ref="C9:C14" si="2">A9/B9</f>
        <v>1.107309365</v>
      </c>
    </row>
    <row r="10">
      <c r="A10" s="1">
        <v>100.0</v>
      </c>
      <c r="B10" s="2">
        <f t="shared" si="1"/>
        <v>45.15449935</v>
      </c>
      <c r="C10" s="2">
        <f t="shared" si="2"/>
        <v>2.21461873</v>
      </c>
    </row>
    <row r="11">
      <c r="A11" s="1">
        <v>1000.0</v>
      </c>
      <c r="B11" s="2">
        <f t="shared" si="1"/>
        <v>301.0299957</v>
      </c>
      <c r="C11" s="2">
        <f t="shared" si="2"/>
        <v>3.321928095</v>
      </c>
    </row>
    <row r="12">
      <c r="A12" s="1">
        <v>10000.0</v>
      </c>
      <c r="B12" s="2">
        <f t="shared" si="1"/>
        <v>2257.724967</v>
      </c>
      <c r="C12" s="2">
        <f t="shared" si="2"/>
        <v>4.42923746</v>
      </c>
    </row>
    <row r="13">
      <c r="A13" s="1">
        <v>100000.0</v>
      </c>
      <c r="B13" s="2">
        <f t="shared" si="1"/>
        <v>18061.79974</v>
      </c>
      <c r="C13" s="2">
        <f t="shared" si="2"/>
        <v>5.536546825</v>
      </c>
    </row>
    <row r="14">
      <c r="A14" s="1">
        <v>1000000.0</v>
      </c>
      <c r="B14" s="2">
        <f t="shared" si="1"/>
        <v>150514.9978</v>
      </c>
      <c r="C14" s="2">
        <f t="shared" si="2"/>
        <v>6.64385619</v>
      </c>
    </row>
    <row r="20">
      <c r="A20" s="1">
        <v>0.99</v>
      </c>
    </row>
    <row r="21">
      <c r="A21" s="2">
        <f t="shared" ref="A21:A28" si="3">0.99*A20</f>
        <v>0.9801</v>
      </c>
    </row>
    <row r="22">
      <c r="A22" s="2">
        <f t="shared" si="3"/>
        <v>0.970299</v>
      </c>
    </row>
    <row r="23">
      <c r="A23" s="2">
        <f t="shared" si="3"/>
        <v>0.96059601</v>
      </c>
    </row>
    <row r="24">
      <c r="A24" s="2">
        <f t="shared" si="3"/>
        <v>0.9509900499</v>
      </c>
    </row>
    <row r="25">
      <c r="A25" s="2">
        <f t="shared" si="3"/>
        <v>0.9414801494</v>
      </c>
    </row>
    <row r="26">
      <c r="A26" s="2">
        <f t="shared" si="3"/>
        <v>0.9320653479</v>
      </c>
    </row>
    <row r="27">
      <c r="A27" s="2">
        <f t="shared" si="3"/>
        <v>0.9227446944</v>
      </c>
    </row>
    <row r="28">
      <c r="A28" s="2">
        <f t="shared" si="3"/>
        <v>0.9135172475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3">
      <c r="F3" s="20" t="s">
        <v>76</v>
      </c>
    </row>
    <row r="4">
      <c r="A4" s="1" t="s">
        <v>77</v>
      </c>
      <c r="B4" s="1" t="s">
        <v>78</v>
      </c>
      <c r="C4" s="1" t="s">
        <v>79</v>
      </c>
      <c r="F4" s="1" t="s">
        <v>77</v>
      </c>
      <c r="G4" s="1" t="s">
        <v>78</v>
      </c>
      <c r="H4" s="1" t="s">
        <v>80</v>
      </c>
    </row>
    <row r="5">
      <c r="A5" s="1" t="s">
        <v>81</v>
      </c>
      <c r="B5" s="1">
        <v>4.98</v>
      </c>
      <c r="F5" s="1" t="s">
        <v>81</v>
      </c>
      <c r="G5" s="1">
        <f>average(4.56,4.59,4.55)</f>
        <v>4.566666667</v>
      </c>
    </row>
    <row r="6">
      <c r="A6" s="1" t="s">
        <v>82</v>
      </c>
      <c r="B6" s="2">
        <f>average(4.92,4.95,4.94)</f>
        <v>4.936666667</v>
      </c>
      <c r="C6" s="2">
        <f t="shared" ref="C6:C11" si="1">B5-B6</f>
        <v>0.04333333333</v>
      </c>
      <c r="F6" s="1" t="s">
        <v>82</v>
      </c>
      <c r="G6" s="2">
        <f>average(4.56,4.54,4.54)</f>
        <v>4.546666667</v>
      </c>
      <c r="H6" s="2">
        <f t="shared" ref="H6:H11" si="2">G5-G6</f>
        <v>0.02</v>
      </c>
      <c r="I6" s="19"/>
    </row>
    <row r="7">
      <c r="A7" s="1" t="s">
        <v>83</v>
      </c>
      <c r="B7" s="2">
        <f>average(4.04,4.14,4.16)</f>
        <v>4.113333333</v>
      </c>
      <c r="C7" s="2">
        <f t="shared" si="1"/>
        <v>0.8233333333</v>
      </c>
      <c r="F7" s="1" t="s">
        <v>83</v>
      </c>
      <c r="G7" s="2">
        <f>average(3.86,3.97,3.97)</f>
        <v>3.933333333</v>
      </c>
      <c r="H7" s="2">
        <f t="shared" si="2"/>
        <v>0.6133333333</v>
      </c>
    </row>
    <row r="8">
      <c r="A8" s="1" t="s">
        <v>84</v>
      </c>
      <c r="B8" s="2">
        <f>average(2.1,2.17,2.15)</f>
        <v>2.14</v>
      </c>
      <c r="C8" s="2">
        <f t="shared" si="1"/>
        <v>1.973333333</v>
      </c>
      <c r="F8" s="1" t="s">
        <v>84</v>
      </c>
      <c r="G8" s="2">
        <f>average(1.96,1.97,1.98)</f>
        <v>1.97</v>
      </c>
      <c r="H8" s="2">
        <f t="shared" si="2"/>
        <v>1.963333333</v>
      </c>
    </row>
    <row r="9">
      <c r="A9" s="1" t="s">
        <v>85</v>
      </c>
      <c r="B9" s="2">
        <f>average(1.29,1.36,1.35)</f>
        <v>1.333333333</v>
      </c>
      <c r="C9" s="2">
        <f t="shared" si="1"/>
        <v>0.8066666667</v>
      </c>
      <c r="F9" s="1" t="s">
        <v>85</v>
      </c>
      <c r="G9" s="2">
        <f>average(1.13,1.18,1.18)</f>
        <v>1.163333333</v>
      </c>
      <c r="H9" s="2">
        <f t="shared" si="2"/>
        <v>0.8066666667</v>
      </c>
    </row>
    <row r="10">
      <c r="A10" s="1" t="s">
        <v>86</v>
      </c>
      <c r="B10" s="2">
        <f>average(0.77,0.82,0.81)</f>
        <v>0.8</v>
      </c>
      <c r="C10" s="2">
        <f t="shared" si="1"/>
        <v>0.5333333333</v>
      </c>
      <c r="F10" s="1" t="s">
        <v>86</v>
      </c>
      <c r="G10" s="2">
        <f>average(0.77,0.82,0.82)</f>
        <v>0.8033333333</v>
      </c>
      <c r="H10" s="2">
        <f t="shared" si="2"/>
        <v>0.36</v>
      </c>
    </row>
    <row r="11">
      <c r="A11" s="1" t="s">
        <v>87</v>
      </c>
      <c r="B11" s="1">
        <v>0.0</v>
      </c>
      <c r="C11" s="2">
        <f t="shared" si="1"/>
        <v>0.8</v>
      </c>
      <c r="F11" s="1" t="s">
        <v>87</v>
      </c>
      <c r="G11" s="1">
        <v>0.0</v>
      </c>
      <c r="H11" s="2">
        <f t="shared" si="2"/>
        <v>0.8033333333</v>
      </c>
    </row>
    <row r="17">
      <c r="A17" s="1" t="s">
        <v>88</v>
      </c>
    </row>
    <row r="18">
      <c r="A18" s="1" t="s">
        <v>89</v>
      </c>
      <c r="B18" s="2">
        <f>B19*1024*1024/25</f>
        <v>33554432</v>
      </c>
      <c r="C18" s="1">
        <f>2^32</f>
        <v>4294967296</v>
      </c>
    </row>
    <row r="19">
      <c r="A19" s="1" t="s">
        <v>90</v>
      </c>
      <c r="B19" s="1">
        <v>800.0</v>
      </c>
      <c r="C19" s="2">
        <f>C18*25/1024/1024</f>
        <v>102400</v>
      </c>
    </row>
    <row r="20">
      <c r="A20" s="1" t="s">
        <v>91</v>
      </c>
      <c r="B20" s="2">
        <f t="shared" ref="B20:C20" si="3">B19/2</f>
        <v>400</v>
      </c>
      <c r="C20" s="2">
        <f t="shared" si="3"/>
        <v>51200</v>
      </c>
    </row>
    <row r="21">
      <c r="A21" s="1" t="s">
        <v>92</v>
      </c>
      <c r="B21" s="2">
        <f t="shared" ref="B21:C21" si="4">B20*8/1024</f>
        <v>3.125</v>
      </c>
      <c r="C21" s="2">
        <f t="shared" si="4"/>
        <v>400</v>
      </c>
    </row>
  </sheetData>
  <mergeCells count="1">
    <mergeCell ref="F3:I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3">
      <c r="A3" s="9"/>
      <c r="B3" s="21" t="s">
        <v>93</v>
      </c>
      <c r="C3" s="22"/>
      <c r="D3" s="23" t="s">
        <v>94</v>
      </c>
      <c r="E3" s="22"/>
    </row>
    <row r="4">
      <c r="A4" s="9"/>
      <c r="D4" s="24" t="s">
        <v>95</v>
      </c>
      <c r="E4" s="22"/>
    </row>
    <row r="5">
      <c r="A5" s="9" t="s">
        <v>18</v>
      </c>
      <c r="B5" s="9" t="s">
        <v>34</v>
      </c>
      <c r="C5" s="8" t="s">
        <v>96</v>
      </c>
      <c r="D5" s="8" t="s">
        <v>96</v>
      </c>
      <c r="E5" s="8" t="s">
        <v>21</v>
      </c>
    </row>
    <row r="6">
      <c r="A6" s="9">
        <v>1.0</v>
      </c>
      <c r="B6" s="8"/>
      <c r="C6" s="8">
        <v>5.09</v>
      </c>
      <c r="D6" s="25">
        <v>5.06</v>
      </c>
      <c r="E6" s="25">
        <v>0.81</v>
      </c>
    </row>
    <row r="7">
      <c r="A7" s="9">
        <v>3.0</v>
      </c>
      <c r="B7" s="8"/>
      <c r="C7" s="8">
        <v>5.11</v>
      </c>
      <c r="D7" s="25">
        <v>5.07</v>
      </c>
      <c r="E7" s="25">
        <v>0.86</v>
      </c>
    </row>
    <row r="8">
      <c r="A8" s="9">
        <v>6.0</v>
      </c>
      <c r="B8" s="8"/>
      <c r="C8" s="8">
        <v>5.16</v>
      </c>
      <c r="D8" s="25">
        <v>5.16</v>
      </c>
      <c r="E8" s="25">
        <v>1.03</v>
      </c>
    </row>
    <row r="9">
      <c r="A9" s="9">
        <v>12.0</v>
      </c>
      <c r="B9" s="8"/>
      <c r="C9" s="8">
        <v>5.34</v>
      </c>
      <c r="D9" s="25">
        <v>5.19</v>
      </c>
      <c r="E9" s="25">
        <v>1.78</v>
      </c>
    </row>
    <row r="10">
      <c r="A10" s="9">
        <v>24.0</v>
      </c>
      <c r="B10" s="8"/>
      <c r="C10" s="8">
        <v>5.54</v>
      </c>
      <c r="D10" s="25">
        <v>5.53</v>
      </c>
      <c r="E10" s="25">
        <v>3.56</v>
      </c>
    </row>
    <row r="11">
      <c r="A11" s="9">
        <v>48.0</v>
      </c>
      <c r="B11" s="8"/>
      <c r="C11" s="8">
        <v>7.18</v>
      </c>
      <c r="D11" s="25">
        <v>7.24</v>
      </c>
      <c r="E11" s="25">
        <v>7.08</v>
      </c>
    </row>
    <row r="12">
      <c r="A12" s="9">
        <v>96.0</v>
      </c>
      <c r="B12" s="8"/>
      <c r="C12" s="8">
        <v>13.72</v>
      </c>
      <c r="D12" s="25">
        <v>14.47</v>
      </c>
      <c r="E12" s="25">
        <v>14.12</v>
      </c>
    </row>
    <row r="13">
      <c r="A13" s="9">
        <v>192.0</v>
      </c>
      <c r="B13" s="8"/>
      <c r="C13" s="8">
        <v>26.83</v>
      </c>
      <c r="D13" s="25">
        <v>28.84</v>
      </c>
      <c r="E13" s="25">
        <v>28.21</v>
      </c>
    </row>
    <row r="14">
      <c r="A14" s="9">
        <v>384.0</v>
      </c>
      <c r="B14" s="8"/>
      <c r="C14" s="8">
        <v>53.15</v>
      </c>
      <c r="D14" s="25">
        <v>57.83</v>
      </c>
      <c r="E14" s="25">
        <v>56.33</v>
      </c>
    </row>
    <row r="15">
      <c r="D15" s="26" t="s">
        <v>97</v>
      </c>
    </row>
    <row r="19">
      <c r="A19" s="4" t="s">
        <v>98</v>
      </c>
      <c r="B19" s="5"/>
    </row>
    <row r="20">
      <c r="A20" s="4" t="s">
        <v>99</v>
      </c>
      <c r="B20" s="4" t="s">
        <v>100</v>
      </c>
    </row>
    <row r="21">
      <c r="A21" s="4" t="s">
        <v>101</v>
      </c>
      <c r="B21" s="5"/>
    </row>
    <row r="22">
      <c r="A22" s="4" t="s">
        <v>102</v>
      </c>
    </row>
  </sheetData>
  <mergeCells count="4">
    <mergeCell ref="B3:C3"/>
    <mergeCell ref="D3:E3"/>
    <mergeCell ref="D4:E4"/>
    <mergeCell ref="D15:E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8.25"/>
    <col customWidth="1" min="3" max="3" width="15.0"/>
    <col customWidth="1" min="4" max="4" width="17.5"/>
    <col customWidth="1" min="6" max="6" width="36.88"/>
    <col customWidth="1" min="9" max="9" width="16.63"/>
  </cols>
  <sheetData>
    <row r="1">
      <c r="A1" s="4" t="s">
        <v>103</v>
      </c>
      <c r="B1" s="27" t="s">
        <v>104</v>
      </c>
      <c r="H1" s="4" t="s">
        <v>103</v>
      </c>
      <c r="I1" s="27" t="s">
        <v>104</v>
      </c>
    </row>
    <row r="2">
      <c r="A2" s="4" t="s">
        <v>105</v>
      </c>
      <c r="B2" s="4" t="s">
        <v>106</v>
      </c>
      <c r="H2" s="4" t="s">
        <v>105</v>
      </c>
      <c r="I2" s="4" t="s">
        <v>106</v>
      </c>
    </row>
    <row r="3">
      <c r="A3" s="4" t="s">
        <v>107</v>
      </c>
      <c r="H3" s="4" t="s">
        <v>108</v>
      </c>
      <c r="I3" s="28">
        <v>384.0</v>
      </c>
    </row>
    <row r="4">
      <c r="A4" s="29"/>
      <c r="B4" s="29"/>
      <c r="C4" s="29"/>
      <c r="D4" s="29"/>
      <c r="E4" s="29"/>
      <c r="F4" s="29"/>
    </row>
    <row r="5">
      <c r="A5" s="30" t="s">
        <v>109</v>
      </c>
      <c r="B5" s="31" t="s">
        <v>110</v>
      </c>
      <c r="C5" s="30" t="s">
        <v>111</v>
      </c>
      <c r="D5" s="31" t="s">
        <v>112</v>
      </c>
      <c r="E5" s="31" t="s">
        <v>113</v>
      </c>
      <c r="F5" s="32" t="s">
        <v>114</v>
      </c>
      <c r="H5" s="30" t="s">
        <v>109</v>
      </c>
      <c r="I5" s="31" t="s">
        <v>110</v>
      </c>
      <c r="J5" s="30" t="s">
        <v>111</v>
      </c>
      <c r="K5" s="31" t="s">
        <v>112</v>
      </c>
      <c r="L5" s="31" t="s">
        <v>113</v>
      </c>
      <c r="M5" s="33" t="s">
        <v>115</v>
      </c>
      <c r="N5" s="34"/>
    </row>
    <row r="6">
      <c r="A6" s="30" t="s">
        <v>116</v>
      </c>
      <c r="B6" s="31">
        <v>0.0</v>
      </c>
      <c r="C6" s="31">
        <v>9.0</v>
      </c>
      <c r="D6" s="31">
        <v>5.71</v>
      </c>
      <c r="E6" s="35">
        <f>905256/1024</f>
        <v>884.0390625</v>
      </c>
      <c r="F6" s="36"/>
      <c r="H6" s="30" t="s">
        <v>116</v>
      </c>
      <c r="I6" s="31">
        <v>0.0</v>
      </c>
      <c r="J6" s="31">
        <v>12.0</v>
      </c>
      <c r="K6" s="31">
        <v>5.95</v>
      </c>
      <c r="L6" s="35">
        <f>905256/1024</f>
        <v>884.0390625</v>
      </c>
      <c r="M6" s="37"/>
      <c r="N6" s="38"/>
    </row>
    <row r="7">
      <c r="A7" s="30">
        <v>1024.0</v>
      </c>
      <c r="B7" s="31">
        <v>9.77E-4</v>
      </c>
      <c r="C7" s="31">
        <v>10.0</v>
      </c>
      <c r="D7" s="31">
        <v>5.65</v>
      </c>
      <c r="E7" s="35">
        <f t="shared" ref="E7:E8" si="1">736648/1024</f>
        <v>719.3828125</v>
      </c>
      <c r="F7" s="36"/>
      <c r="H7" s="30">
        <v>1024.0</v>
      </c>
      <c r="I7" s="31">
        <v>9.77E-4</v>
      </c>
      <c r="J7" s="31">
        <v>12.0</v>
      </c>
      <c r="K7" s="31">
        <v>5.96</v>
      </c>
      <c r="L7" s="35">
        <f t="shared" ref="L7:L8" si="2">736648/1024</f>
        <v>719.3828125</v>
      </c>
      <c r="M7" s="37"/>
      <c r="N7" s="38"/>
    </row>
    <row r="8">
      <c r="A8" s="30">
        <v>512.0</v>
      </c>
      <c r="B8" s="31">
        <v>0.001953</v>
      </c>
      <c r="C8" s="31">
        <v>10.0</v>
      </c>
      <c r="D8" s="31">
        <v>5.84</v>
      </c>
      <c r="E8" s="35">
        <f t="shared" si="1"/>
        <v>719.3828125</v>
      </c>
      <c r="F8" s="36"/>
      <c r="H8" s="30">
        <v>512.0</v>
      </c>
      <c r="I8" s="31">
        <v>0.001953</v>
      </c>
      <c r="J8" s="31">
        <v>12.0</v>
      </c>
      <c r="K8" s="31">
        <v>5.96</v>
      </c>
      <c r="L8" s="35">
        <f t="shared" si="2"/>
        <v>719.3828125</v>
      </c>
      <c r="M8" s="37"/>
      <c r="N8" s="38"/>
    </row>
    <row r="9">
      <c r="A9" s="39">
        <f t="shared" ref="A9:A17" si="3">A8/2</f>
        <v>256</v>
      </c>
      <c r="B9" s="31">
        <v>0.003906</v>
      </c>
      <c r="C9" s="31">
        <v>11.0</v>
      </c>
      <c r="D9" s="31">
        <v>5.85</v>
      </c>
      <c r="E9" s="35">
        <f t="shared" ref="E9:E10" si="4">609192/1024</f>
        <v>594.9140625</v>
      </c>
      <c r="F9" s="36"/>
      <c r="H9" s="39">
        <f t="shared" ref="H9:H17" si="5">H8/2</f>
        <v>256</v>
      </c>
      <c r="I9" s="31">
        <v>0.003906</v>
      </c>
      <c r="J9" s="31">
        <v>12.0</v>
      </c>
      <c r="K9" s="31">
        <v>6.14</v>
      </c>
      <c r="L9" s="35">
        <f t="shared" ref="L9:L10" si="6">609192/1024</f>
        <v>594.9140625</v>
      </c>
      <c r="M9" s="37"/>
      <c r="N9" s="38"/>
    </row>
    <row r="10">
      <c r="A10" s="39">
        <f t="shared" si="3"/>
        <v>128</v>
      </c>
      <c r="B10" s="31">
        <v>0.007812</v>
      </c>
      <c r="C10" s="31">
        <v>11.0</v>
      </c>
      <c r="D10" s="31">
        <v>5.72</v>
      </c>
      <c r="E10" s="35">
        <f t="shared" si="4"/>
        <v>594.9140625</v>
      </c>
      <c r="F10" s="36"/>
      <c r="H10" s="39">
        <f t="shared" si="5"/>
        <v>128</v>
      </c>
      <c r="I10" s="31">
        <v>0.007812</v>
      </c>
      <c r="J10" s="31">
        <v>12.0</v>
      </c>
      <c r="K10" s="31">
        <v>6.05</v>
      </c>
      <c r="L10" s="35">
        <f t="shared" si="6"/>
        <v>594.9140625</v>
      </c>
      <c r="M10" s="37"/>
      <c r="N10" s="38"/>
    </row>
    <row r="11">
      <c r="A11" s="39">
        <f t="shared" si="3"/>
        <v>64</v>
      </c>
      <c r="B11" s="31">
        <v>0.015625</v>
      </c>
      <c r="C11" s="31">
        <v>12.0</v>
      </c>
      <c r="D11" s="31">
        <v>5.63</v>
      </c>
      <c r="E11" s="35">
        <f t="shared" ref="E11:E12" si="7">513576/1024</f>
        <v>501.5390625</v>
      </c>
      <c r="F11" s="36"/>
      <c r="H11" s="39">
        <f t="shared" si="5"/>
        <v>64</v>
      </c>
      <c r="I11" s="31">
        <v>0.015625</v>
      </c>
      <c r="J11" s="31">
        <v>12.0</v>
      </c>
      <c r="K11" s="31">
        <v>6.01</v>
      </c>
      <c r="L11" s="35">
        <f t="shared" ref="L11:L12" si="8">513576/1024</f>
        <v>501.5390625</v>
      </c>
      <c r="M11" s="37"/>
      <c r="N11" s="38"/>
    </row>
    <row r="12">
      <c r="A12" s="39">
        <f t="shared" si="3"/>
        <v>32</v>
      </c>
      <c r="B12" s="31">
        <v>0.03125</v>
      </c>
      <c r="C12" s="31">
        <v>12.0</v>
      </c>
      <c r="D12" s="31">
        <v>5.7</v>
      </c>
      <c r="E12" s="35">
        <f t="shared" si="7"/>
        <v>501.5390625</v>
      </c>
      <c r="F12" s="36"/>
      <c r="H12" s="39">
        <f t="shared" si="5"/>
        <v>32</v>
      </c>
      <c r="I12" s="31">
        <v>0.03125</v>
      </c>
      <c r="J12" s="31">
        <v>12.0</v>
      </c>
      <c r="K12" s="31">
        <v>6.02</v>
      </c>
      <c r="L12" s="35">
        <f t="shared" si="8"/>
        <v>501.5390625</v>
      </c>
      <c r="M12" s="37"/>
      <c r="N12" s="38"/>
    </row>
    <row r="13">
      <c r="A13" s="39">
        <f t="shared" si="3"/>
        <v>16</v>
      </c>
      <c r="B13" s="31">
        <v>0.0625</v>
      </c>
      <c r="C13" s="31">
        <v>13.0</v>
      </c>
      <c r="D13" s="31">
        <v>5.74</v>
      </c>
      <c r="E13" s="35">
        <f>440008/1024</f>
        <v>429.6953125</v>
      </c>
      <c r="F13" s="36"/>
      <c r="H13" s="39">
        <f t="shared" si="5"/>
        <v>16</v>
      </c>
      <c r="I13" s="31">
        <v>0.0625</v>
      </c>
      <c r="J13" s="31">
        <v>14.0</v>
      </c>
      <c r="K13" s="31">
        <v>6.19</v>
      </c>
      <c r="L13" s="35">
        <f>440008/1024</f>
        <v>429.6953125</v>
      </c>
      <c r="M13" s="37"/>
      <c r="N13" s="38"/>
    </row>
    <row r="14">
      <c r="A14" s="39">
        <f t="shared" si="3"/>
        <v>8</v>
      </c>
      <c r="B14" s="31">
        <v>0.125</v>
      </c>
      <c r="C14" s="31">
        <v>14.0</v>
      </c>
      <c r="D14" s="31">
        <v>5.63</v>
      </c>
      <c r="E14" s="35">
        <f>379368/1024</f>
        <v>370.4765625</v>
      </c>
      <c r="F14" s="36"/>
      <c r="H14" s="39">
        <f t="shared" si="5"/>
        <v>8</v>
      </c>
      <c r="I14" s="31">
        <v>0.125</v>
      </c>
      <c r="J14" s="31">
        <v>14.0</v>
      </c>
      <c r="K14" s="31">
        <v>6.1</v>
      </c>
      <c r="L14" s="35">
        <f>379368/1024</f>
        <v>370.4765625</v>
      </c>
      <c r="M14" s="37"/>
      <c r="N14" s="38"/>
    </row>
    <row r="15">
      <c r="A15" s="39">
        <f t="shared" si="3"/>
        <v>4</v>
      </c>
      <c r="B15" s="31">
        <v>0.25</v>
      </c>
      <c r="C15" s="31">
        <v>16.0</v>
      </c>
      <c r="D15" s="31">
        <v>5.72</v>
      </c>
      <c r="E15" s="35">
        <f>290072/1024</f>
        <v>283.2734375</v>
      </c>
      <c r="F15" s="36"/>
      <c r="H15" s="39">
        <f t="shared" si="5"/>
        <v>4</v>
      </c>
      <c r="I15" s="31">
        <v>0.25</v>
      </c>
      <c r="J15" s="31">
        <v>16.0</v>
      </c>
      <c r="K15" s="31" t="s">
        <v>117</v>
      </c>
      <c r="L15" s="35">
        <f>290072/1024</f>
        <v>283.2734375</v>
      </c>
      <c r="M15" s="37"/>
      <c r="N15" s="38"/>
    </row>
    <row r="16">
      <c r="A16" s="39">
        <f t="shared" si="3"/>
        <v>2</v>
      </c>
      <c r="B16" s="31">
        <v>0.5</v>
      </c>
      <c r="C16" s="31">
        <v>19.0</v>
      </c>
      <c r="D16" s="31">
        <v>5.65</v>
      </c>
      <c r="E16" s="35">
        <f>207096/1024</f>
        <v>202.2421875</v>
      </c>
      <c r="F16" s="36"/>
      <c r="H16" s="39">
        <f t="shared" si="5"/>
        <v>2</v>
      </c>
      <c r="I16" s="31">
        <v>0.5</v>
      </c>
      <c r="J16" s="31">
        <v>20.0</v>
      </c>
      <c r="K16" s="31">
        <v>31.49</v>
      </c>
      <c r="L16" s="35">
        <f>207096/1024</f>
        <v>202.2421875</v>
      </c>
      <c r="M16" s="37"/>
      <c r="N16" s="38"/>
    </row>
    <row r="17">
      <c r="A17" s="39">
        <f t="shared" si="3"/>
        <v>1</v>
      </c>
      <c r="B17" s="31">
        <v>1.0</v>
      </c>
      <c r="C17" s="31">
        <v>20.0</v>
      </c>
      <c r="D17" s="31">
        <v>5.64</v>
      </c>
      <c r="E17" s="35">
        <f>187512/1024</f>
        <v>183.1171875</v>
      </c>
      <c r="F17" s="40"/>
      <c r="H17" s="39">
        <f t="shared" si="5"/>
        <v>1</v>
      </c>
      <c r="I17" s="31">
        <v>1.0</v>
      </c>
      <c r="J17" s="31">
        <v>20.0</v>
      </c>
      <c r="K17" s="31">
        <v>45.95</v>
      </c>
      <c r="L17" s="35">
        <f>187512/1024</f>
        <v>183.1171875</v>
      </c>
      <c r="M17" s="37"/>
      <c r="N17" s="38"/>
    </row>
    <row r="18">
      <c r="A18" s="31">
        <v>1.0</v>
      </c>
      <c r="B18" s="31">
        <v>1.0</v>
      </c>
      <c r="C18" s="30">
        <v>25.0</v>
      </c>
      <c r="D18" s="31">
        <v>7.32</v>
      </c>
      <c r="E18" s="35">
        <f>121416/1024</f>
        <v>118.5703125</v>
      </c>
      <c r="F18" s="32" t="s">
        <v>118</v>
      </c>
      <c r="H18" s="31">
        <v>1.0</v>
      </c>
      <c r="I18" s="31">
        <v>1.0</v>
      </c>
      <c r="J18" s="30">
        <v>25.0</v>
      </c>
      <c r="K18" s="31">
        <v>98.43</v>
      </c>
      <c r="L18" s="35">
        <f>121416/1024</f>
        <v>118.5703125</v>
      </c>
      <c r="M18" s="37"/>
      <c r="N18" s="38"/>
    </row>
    <row r="19">
      <c r="A19" s="31">
        <v>1.0</v>
      </c>
      <c r="B19" s="31">
        <v>1.0</v>
      </c>
      <c r="C19" s="39">
        <f t="shared" ref="C19:C26" si="9">C18+5</f>
        <v>30</v>
      </c>
      <c r="D19" s="31">
        <v>5.74</v>
      </c>
      <c r="E19" s="35">
        <f>84328/1024</f>
        <v>82.3515625</v>
      </c>
      <c r="F19" s="36"/>
      <c r="H19" s="31">
        <v>1.0</v>
      </c>
      <c r="I19" s="31">
        <v>1.0</v>
      </c>
      <c r="J19" s="39">
        <f t="shared" ref="J19:J26" si="10">J18+5</f>
        <v>30</v>
      </c>
      <c r="K19" s="31">
        <v>47.2</v>
      </c>
      <c r="L19" s="35">
        <f>84328/1024</f>
        <v>82.3515625</v>
      </c>
      <c r="M19" s="37"/>
      <c r="N19" s="38"/>
    </row>
    <row r="20">
      <c r="A20" s="31">
        <v>1.0</v>
      </c>
      <c r="B20" s="31">
        <v>1.0</v>
      </c>
      <c r="C20" s="39">
        <f t="shared" si="9"/>
        <v>35</v>
      </c>
      <c r="D20" s="31">
        <v>7.64</v>
      </c>
      <c r="E20" s="35">
        <f>62008/1024</f>
        <v>60.5546875</v>
      </c>
      <c r="F20" s="36"/>
      <c r="H20" s="31">
        <v>1.0</v>
      </c>
      <c r="I20" s="31">
        <v>1.0</v>
      </c>
      <c r="J20" s="39">
        <f t="shared" si="10"/>
        <v>35</v>
      </c>
      <c r="K20" s="31">
        <v>96.57</v>
      </c>
      <c r="L20" s="35">
        <f>62008/1024</f>
        <v>60.5546875</v>
      </c>
      <c r="M20" s="37"/>
      <c r="N20" s="38"/>
    </row>
    <row r="21">
      <c r="A21" s="31">
        <v>1.0</v>
      </c>
      <c r="B21" s="31">
        <v>1.0</v>
      </c>
      <c r="C21" s="39">
        <f t="shared" si="9"/>
        <v>40</v>
      </c>
      <c r="D21" s="31">
        <v>7.28</v>
      </c>
      <c r="E21" s="35">
        <f>40968/1024</f>
        <v>40.0078125</v>
      </c>
      <c r="F21" s="36"/>
      <c r="H21" s="31">
        <v>1.0</v>
      </c>
      <c r="I21" s="31">
        <v>1.0</v>
      </c>
      <c r="J21" s="39">
        <f t="shared" si="10"/>
        <v>40</v>
      </c>
      <c r="K21" s="31">
        <v>97.6</v>
      </c>
      <c r="L21" s="35">
        <f>40968/1024</f>
        <v>40.0078125</v>
      </c>
      <c r="M21" s="37"/>
      <c r="N21" s="38"/>
    </row>
    <row r="22">
      <c r="A22" s="31">
        <v>1.0</v>
      </c>
      <c r="B22" s="31">
        <v>1.0</v>
      </c>
      <c r="C22" s="39">
        <f t="shared" si="9"/>
        <v>45</v>
      </c>
      <c r="D22" s="31">
        <v>7.4</v>
      </c>
      <c r="E22" s="35">
        <f>37112/1024</f>
        <v>36.2421875</v>
      </c>
      <c r="F22" s="36"/>
      <c r="H22" s="31">
        <v>1.0</v>
      </c>
      <c r="I22" s="31">
        <v>1.0</v>
      </c>
      <c r="J22" s="39">
        <f t="shared" si="10"/>
        <v>45</v>
      </c>
      <c r="K22" s="31">
        <v>102.24</v>
      </c>
      <c r="L22" s="35">
        <f>37112/1024</f>
        <v>36.2421875</v>
      </c>
      <c r="M22" s="37"/>
      <c r="N22" s="38"/>
    </row>
    <row r="23">
      <c r="A23" s="31">
        <v>1.0</v>
      </c>
      <c r="B23" s="31">
        <v>1.0</v>
      </c>
      <c r="C23" s="39">
        <f t="shared" si="9"/>
        <v>50</v>
      </c>
      <c r="D23" s="31">
        <v>7.29</v>
      </c>
      <c r="E23" s="35">
        <f>30056/1024</f>
        <v>29.3515625</v>
      </c>
      <c r="F23" s="36"/>
      <c r="H23" s="31">
        <v>1.0</v>
      </c>
      <c r="I23" s="31">
        <v>1.0</v>
      </c>
      <c r="J23" s="39">
        <f t="shared" si="10"/>
        <v>50</v>
      </c>
      <c r="K23" s="31">
        <v>103.95</v>
      </c>
      <c r="L23" s="35">
        <f>30056/1024</f>
        <v>29.3515625</v>
      </c>
      <c r="M23" s="37"/>
      <c r="N23" s="38"/>
    </row>
    <row r="24">
      <c r="A24" s="31">
        <v>1.0</v>
      </c>
      <c r="B24" s="31">
        <v>1.0</v>
      </c>
      <c r="C24" s="39">
        <f t="shared" si="9"/>
        <v>55</v>
      </c>
      <c r="D24" s="31">
        <v>7.28</v>
      </c>
      <c r="E24" s="35">
        <f>24920/1024</f>
        <v>24.3359375</v>
      </c>
      <c r="F24" s="36"/>
      <c r="H24" s="31">
        <v>1.0</v>
      </c>
      <c r="I24" s="31">
        <v>1.0</v>
      </c>
      <c r="J24" s="39">
        <f t="shared" si="10"/>
        <v>55</v>
      </c>
      <c r="K24" s="31">
        <v>109.6</v>
      </c>
      <c r="L24" s="35">
        <f>24920/1024</f>
        <v>24.3359375</v>
      </c>
      <c r="M24" s="37"/>
      <c r="N24" s="38"/>
    </row>
    <row r="25">
      <c r="A25" s="31">
        <v>1.0</v>
      </c>
      <c r="B25" s="31">
        <v>1.0</v>
      </c>
      <c r="C25" s="39">
        <f t="shared" si="9"/>
        <v>60</v>
      </c>
      <c r="D25" s="31">
        <v>7.28</v>
      </c>
      <c r="E25" s="35">
        <f>21000/1024</f>
        <v>20.5078125</v>
      </c>
      <c r="F25" s="36"/>
      <c r="H25" s="31">
        <v>1.0</v>
      </c>
      <c r="I25" s="31">
        <v>1.0</v>
      </c>
      <c r="J25" s="39">
        <f t="shared" si="10"/>
        <v>60</v>
      </c>
      <c r="K25" s="31">
        <v>109.3</v>
      </c>
      <c r="L25" s="35">
        <f>21000/1024</f>
        <v>20.5078125</v>
      </c>
      <c r="M25" s="37"/>
      <c r="N25" s="38"/>
    </row>
    <row r="26">
      <c r="A26" s="31">
        <v>1.0</v>
      </c>
      <c r="B26" s="31">
        <v>1.0</v>
      </c>
      <c r="C26" s="39">
        <f t="shared" si="9"/>
        <v>65</v>
      </c>
      <c r="D26" s="31">
        <v>7.29</v>
      </c>
      <c r="E26" s="35">
        <f>17880/1024</f>
        <v>17.4609375</v>
      </c>
      <c r="F26" s="40"/>
      <c r="H26" s="31">
        <v>1.0</v>
      </c>
      <c r="I26" s="31">
        <v>1.0</v>
      </c>
      <c r="J26" s="39">
        <f t="shared" si="10"/>
        <v>65</v>
      </c>
      <c r="K26" s="31">
        <v>109.61</v>
      </c>
      <c r="L26" s="35">
        <f>17880/1024</f>
        <v>17.4609375</v>
      </c>
      <c r="M26" s="41"/>
      <c r="N26" s="42"/>
    </row>
    <row r="27">
      <c r="A27" s="1" t="s">
        <v>98</v>
      </c>
    </row>
    <row r="28">
      <c r="A28" s="1" t="s">
        <v>99</v>
      </c>
      <c r="B28" s="1" t="s">
        <v>119</v>
      </c>
    </row>
    <row r="29">
      <c r="A29" s="1" t="s">
        <v>120</v>
      </c>
    </row>
  </sheetData>
  <mergeCells count="3">
    <mergeCell ref="F5:F17"/>
    <mergeCell ref="F18:F26"/>
    <mergeCell ref="M5:N26"/>
  </mergeCells>
  <drawing r:id="rId1"/>
</worksheet>
</file>